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440" windowHeight="10740" firstSheet="2" activeTab="5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  <sheet name="Приложение №10" sheetId="10" r:id="rId10"/>
    <sheet name="Приложение №11" sheetId="11" r:id="rId11"/>
    <sheet name="Приложение №12" sheetId="12" r:id="rId12"/>
  </sheets>
  <definedNames>
    <definedName name="_xlnm.Print_Area" localSheetId="0">'Приложение №1'!$A$1:$E$18</definedName>
    <definedName name="_xlnm.Print_Area" localSheetId="1">'Приложение №2'!$A$1:$H$187</definedName>
    <definedName name="_xlnm.Print_Area" localSheetId="2">'Приложение №3'!$A$1:$C$91</definedName>
    <definedName name="_xlnm.Print_Area" localSheetId="3">'Приложение №4'!$A$1:$E$32</definedName>
    <definedName name="_xlnm.Print_Area" localSheetId="4">'Приложение №5'!$A$1:$F$34</definedName>
    <definedName name="_xlnm.Print_Area" localSheetId="5">'Приложение №6'!$A$1:$G$298</definedName>
    <definedName name="_xlnm.Print_Area" localSheetId="6">'Приложение №7'!$A$1:$H$281</definedName>
    <definedName name="_xlnm.Print_Area" localSheetId="7">'Приложение №8'!$A$1:$L$267</definedName>
    <definedName name="_xlnm.Print_Area" localSheetId="8">'Приложение №9'!$A$1:$O$261</definedName>
  </definedNames>
  <calcPr fullCalcOnLoad="1"/>
</workbook>
</file>

<file path=xl/sharedStrings.xml><?xml version="1.0" encoding="utf-8"?>
<sst xmlns="http://schemas.openxmlformats.org/spreadsheetml/2006/main" count="5564" uniqueCount="1503">
  <si>
    <t>Доходы от реализации иного имущества, 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</si>
  <si>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 поступления от использования имущества, находящегося в  собственности муниципальных  районов  (за  исключением имущества  муниципальных бюджетных и автономных учреждений, а также имущества муниципальных унитарных  предприятий,  в том числе казенных)</t>
  </si>
  <si>
    <t>Иные непрограммные мероприятия</t>
  </si>
  <si>
    <t xml:space="preserve">МУНИЦИПАЛЬНЫЕ  ВНУТРЕННИЕ ЗАИМСТВОВАНИЯ 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</si>
  <si>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</si>
  <si>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</si>
  <si>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</si>
  <si>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</si>
  <si>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</si>
  <si>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</si>
  <si>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</si>
  <si>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</si>
  <si>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</si>
  <si>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</si>
  <si>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</si>
  <si>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Приложение №10</t>
  </si>
  <si>
    <t>Невыясненные поступления, зачисляемые в бюджеты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</si>
  <si>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</si>
  <si>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</si>
  <si>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</si>
  <si>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</si>
  <si>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</si>
  <si>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</si>
  <si>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</si>
  <si>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</si>
  <si>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Прочие безвозмездные поступления в бюджеты муниципальных районов от бюджетов субъектов Российской Федерации</t>
  </si>
  <si>
    <t>Дотации бюджетам муниципальных районов на выравнивание бюджетной обеспеченности</t>
  </si>
  <si>
    <t>Прочие дотации бюджетам муниципальных районов</t>
  </si>
  <si>
    <t>за счет источников внутреннего финансирования дефицита районного бюджета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</si>
  <si>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</si>
  <si>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Привлечение </t>
  </si>
  <si>
    <t xml:space="preserve">Погашение </t>
  </si>
  <si>
    <t>Кредиты кредитных организаций</t>
  </si>
  <si>
    <t>Погашение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</si>
  <si>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</si>
  <si>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долга</t>
  </si>
  <si>
    <t>Цель гарантирования</t>
  </si>
  <si>
    <t>Жилищно-коммунальное хозяйство</t>
  </si>
  <si>
    <t>0500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</si>
  <si>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</si>
  <si>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</si>
  <si>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</si>
  <si>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</si>
  <si>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</si>
  <si>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</si>
  <si>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</si>
  <si>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</si>
  <si>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</si>
  <si>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Бюджетные учреждения образования</t>
  </si>
  <si>
    <t>Прочие неналоговые доходы бюджетов муниципальных районов</t>
  </si>
  <si>
    <t>Код классификации доходов бюджетов Российской Федерации</t>
  </si>
  <si>
    <t>Наименование дохода</t>
  </si>
  <si>
    <t>000 1 09 07033 05 0000 110</t>
  </si>
  <si>
    <t>500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</si>
  <si>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</si>
  <si>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048 1 12 01030 01 0000 120</t>
  </si>
  <si>
    <t>Дорожное хозяйство (дорожные фонды)</t>
  </si>
  <si>
    <t>04</t>
  </si>
  <si>
    <t>06</t>
  </si>
  <si>
    <t>07</t>
  </si>
  <si>
    <t>2</t>
  </si>
  <si>
    <t>08</t>
  </si>
  <si>
    <t>909 1 13 02995 05 0000 130</t>
  </si>
  <si>
    <t>Прочие доходы от компенсации затрат  бюджетов муниципальных районов</t>
  </si>
  <si>
    <t>037 1 17 05050 05 0000 180</t>
  </si>
  <si>
    <t>БЕЗВОЗМЕЗДНЫЕ ПОСТУПЛЕНИЯ</t>
  </si>
  <si>
    <t>Наименование принципала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</si>
  <si>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</si>
  <si>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</si>
  <si>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1</t>
  </si>
  <si>
    <t>01</t>
  </si>
  <si>
    <t>Прочие поступления от использования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</si>
  <si>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№3</t>
  </si>
  <si>
    <t>Код бюджетной классификации Российской Федерации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</si>
  <si>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</si>
  <si>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</si>
  <si>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</si>
  <si>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1 11 03050 05 0000 120</t>
  </si>
  <si>
    <t>1 13 02995 05 0000 130</t>
  </si>
  <si>
    <t>1 15 02050 05 0000 140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</si>
  <si>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</si>
  <si>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</si>
  <si>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1 17 01050 05 0000 180</t>
  </si>
  <si>
    <t>1 17 05050 05 0000 180</t>
  </si>
  <si>
    <t xml:space="preserve">Бюджетные кредиты от других бюджетов бюджетной системы Российской Федерации  </t>
  </si>
  <si>
    <t xml:space="preserve">Кредиты кредитных организаций   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</si>
  <si>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</si>
  <si>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</si>
  <si>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</si>
  <si>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</si>
  <si>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Управление образования администрации Шуйского муниципального района</t>
  </si>
  <si>
    <t>Приложение №4</t>
  </si>
  <si>
    <t>Акцизы по подакцизным товарам (продукции), производимым на территории Российской Федерации</t>
  </si>
  <si>
    <t>5</t>
  </si>
  <si>
    <t>8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</si>
  <si>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</si>
  <si>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</si>
  <si>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</si>
  <si>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</si>
  <si>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</si>
  <si>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</si>
  <si>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</si>
  <si>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</si>
  <si>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МП</t>
  </si>
  <si>
    <t>пМП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</si>
  <si>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
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</si>
  <si>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</si>
  <si>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
платы за присмотр и уход за детьми в образовательных организациях, реализующих образовательную программу дошкольного образования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</si>
  <si>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</si>
  <si>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</si>
  <si>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600</t>
  </si>
  <si>
    <t>300</t>
  </si>
  <si>
    <t>ВСЕГО  ДОХОДОВ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</si>
  <si>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</si>
  <si>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</si>
  <si>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</si>
  <si>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</si>
  <si>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</si>
  <si>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</si>
  <si>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9</t>
  </si>
  <si>
    <t>02</t>
  </si>
  <si>
    <t>Предоставление гарантий</t>
  </si>
  <si>
    <t>Исполнение  гарантий (гарантийный случай)</t>
  </si>
  <si>
    <t>01050201050000510</t>
  </si>
  <si>
    <t>01050200000000600</t>
  </si>
  <si>
    <t>01050201000000610</t>
  </si>
  <si>
    <t>01050201050000610</t>
  </si>
  <si>
    <t>Совет Шуйского муниципального района</t>
  </si>
  <si>
    <t>907</t>
  </si>
  <si>
    <t>0102</t>
  </si>
  <si>
    <t>0103</t>
  </si>
  <si>
    <t>0106</t>
  </si>
  <si>
    <t>909</t>
  </si>
  <si>
    <t>Дошкольное образование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</si>
  <si>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</si>
  <si>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</si>
  <si>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</si>
  <si>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</si>
  <si>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</si>
  <si>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</si>
  <si>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</si>
  <si>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</si>
  <si>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</si>
  <si>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</si>
  <si>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4</t>
  </si>
  <si>
    <t>Доходы от продажи земельных участков, находящихся в собственности муниципальных районов (за исключением замельных участков муниципальных бюджетных и автономных учреждений)</t>
  </si>
  <si>
    <t>900 1 17 05050 05 0000 180</t>
  </si>
  <si>
    <t>Прочие неналоговые доходы бюджетов муниципальных  районов</t>
  </si>
  <si>
    <t>048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</si>
  <si>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</si>
  <si>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 к решению Совета Шуйского муниципального района</t>
  </si>
  <si>
    <t>Вид долгового обязательства</t>
  </si>
  <si>
    <t>Субвенции бюджетам муниципальных районов на выполнение передаваемых полномочий субъектов Российской Федерации</t>
  </si>
  <si>
    <t>Проценты, полученные от предоставления бюджетных кредитов внутри страны за счетсредств бюджетов муниципальных районов</t>
  </si>
  <si>
    <t>900</t>
  </si>
  <si>
    <t>Администрация Шуйского муниципального района</t>
  </si>
  <si>
    <t>Приложение №6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</si>
  <si>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</si>
  <si>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</si>
  <si>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</si>
  <si>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1001</t>
  </si>
  <si>
    <t>Культура</t>
  </si>
  <si>
    <t>0801</t>
  </si>
  <si>
    <t>30</t>
  </si>
  <si>
    <t>100</t>
  </si>
  <si>
    <t>200</t>
  </si>
  <si>
    <t>800</t>
  </si>
  <si>
    <t>Плата за выбросы загрязняющих веществ в атмосферный воздух стационарными объектами</t>
  </si>
  <si>
    <t>Код классификации доходов районного бюджета</t>
  </si>
  <si>
    <t>Управление Федеральной налоговой службы по Ивановской области</t>
  </si>
  <si>
    <t>Плата за негативное воздействие на окружающую среду</t>
  </si>
  <si>
    <t>Управление Федерального казначейства по Ивановской области</t>
  </si>
  <si>
    <t>Дотации бюджетам муниципальных районов на поддержку мер по обеспечению сбалансированности бюджетов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</si>
  <si>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</si>
  <si>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</si>
  <si>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сборы, мобилизуемые на территориях муниципальных районов</t>
  </si>
  <si>
    <t>Бюджет Шуйского муниципального района</t>
  </si>
  <si>
    <t>Плата за выбросы загрязняющих веществ в атмосферный воздух передвижными объектами</t>
  </si>
  <si>
    <t>источник внутреннего финансирования дефицитов бюджета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</si>
  <si>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</si>
  <si>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</si>
  <si>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</si>
  <si>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Приложение №1</t>
  </si>
  <si>
    <t>Прочие доходы от компенсации затрат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</si>
  <si>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</si>
  <si>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Финансовое управление администрации  Шуйского муниципального района </t>
  </si>
  <si>
    <t>Приложение №5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</si>
  <si>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</si>
  <si>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</si>
  <si>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</si>
  <si>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Финансовое управление  Администрации Шуйского муниципального района</t>
  </si>
  <si>
    <t>Афанасьевское</t>
  </si>
  <si>
    <t>Васильевское</t>
  </si>
  <si>
    <t>Введенское</t>
  </si>
  <si>
    <t>Китовское</t>
  </si>
  <si>
    <t>Колобовское</t>
  </si>
  <si>
    <t>Остаповское</t>
  </si>
  <si>
    <t>Перемиловское</t>
  </si>
  <si>
    <t>Семейкинское</t>
  </si>
  <si>
    <t>Итого</t>
  </si>
  <si>
    <t>Приложение №2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</si>
  <si>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</si>
  <si>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</si>
  <si>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</si>
  <si>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</si>
  <si>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</si>
  <si>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</si>
  <si>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1102</t>
  </si>
  <si>
    <t>Приложение №7</t>
  </si>
  <si>
    <t>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</si>
  <si>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Сумма, рублей</t>
  </si>
  <si>
    <t>В т.ч.</t>
  </si>
  <si>
    <t>Кредиты банков</t>
  </si>
  <si>
    <t>1 11 05025 05 0000 120</t>
  </si>
  <si>
    <t>Доходы от эксплуатации и использования имущества автомобильных дорог, находящихся в собственности  муниципальных районов</t>
  </si>
  <si>
    <t>1 11 09045 05 0000 120</t>
  </si>
  <si>
    <t>Прочие доходы от  компенсации затрат бюджетов муниципальных районов</t>
  </si>
  <si>
    <t>1 14 06025 05 0000 430</t>
  </si>
  <si>
    <t>1 14 02053 05 0000 410</t>
  </si>
  <si>
    <t>1 11 09045 05 2000 120</t>
  </si>
  <si>
    <t>00010000000000000000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</si>
  <si>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</si>
  <si>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</si>
  <si>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на составление доп.списков присяжных заседателей</t>
  </si>
  <si>
    <t>Иные межбюджетные трансферты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</si>
  <si>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</si>
  <si>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Общий объем заимствований, направляемых на погашение муниципального  долга    </t>
  </si>
  <si>
    <t>Налог на доходы физических лиц</t>
  </si>
  <si>
    <t>Сумма, изменения</t>
  </si>
  <si>
    <t>Сумма, с учетом изменений</t>
  </si>
  <si>
    <t>Массовый спорт</t>
  </si>
  <si>
    <t>10</t>
  </si>
  <si>
    <t>11</t>
  </si>
  <si>
    <t>3</t>
  </si>
  <si>
    <t>№ п/п</t>
  </si>
  <si>
    <t>Наименование поселения</t>
  </si>
  <si>
    <t>Исполнение муниципальных гарантий Шуйского муниципального района</t>
  </si>
  <si>
    <t>0701</t>
  </si>
  <si>
    <t>Общее образование</t>
  </si>
  <si>
    <t>0702</t>
  </si>
  <si>
    <t>Другие вопросы в области образования</t>
  </si>
  <si>
    <t>0709</t>
  </si>
  <si>
    <t>03</t>
  </si>
  <si>
    <t xml:space="preserve">Общий объем заимствований,  направляемых  на  покрытие  дефицита бюджета                       </t>
  </si>
  <si>
    <t>100 1 03 02230 01 0000 110</t>
  </si>
  <si>
    <t>100 1 03 02240 01 0000 110</t>
  </si>
  <si>
    <t>100 1 03 02250 01 0000 110</t>
  </si>
  <si>
    <t>100 1 03 02260 01 0000 110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</si>
  <si>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</si>
  <si>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Проценты, полученные от предоставления бюджетных кредитов внутри страны за счет средств бюджетов муниципальных районов</t>
  </si>
  <si>
    <t>Контрольно-счетная палата Шуйского муниципального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</si>
  <si>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</si>
  <si>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</si>
  <si>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</si>
  <si>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</si>
  <si>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</si>
  <si>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1000</t>
  </si>
  <si>
    <t>Пенсионное обеспечение</t>
  </si>
  <si>
    <t>Доходы, получаемые в виде арендной платы, а также средства от продажи права на  заключение договоров аренды за земли,   находящиеся в собственности  муниципальных районов (за исключением земельных участков муниципальных бюджетных и автономных учреждений)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</si>
  <si>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</si>
  <si>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</si>
  <si>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</si>
  <si>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 xml:space="preserve">182 1 01 02010 01 0000 110 </t>
  </si>
  <si>
    <t>182 1 01 02020 01 0000 110</t>
  </si>
  <si>
    <t>182 1 01 02030 01 0000 110</t>
  </si>
  <si>
    <t>182 1 01 02040 01 0000 110</t>
  </si>
  <si>
    <t xml:space="preserve">Единый налог на вмененный доход для отдельных видов деятельности </t>
  </si>
  <si>
    <t>037 1 11 03050 05 0000 120</t>
  </si>
  <si>
    <t>0105</t>
  </si>
  <si>
    <t>Прочие субвенции бюджетам муниципальных районов</t>
  </si>
  <si>
    <t>Прочие безвозмездные поступления в бюджеты муниципальных районов от федерального бюджета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</si>
  <si>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</si>
  <si>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</si>
  <si>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</si>
  <si>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</si>
  <si>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</si>
  <si>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</si>
  <si>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</si>
  <si>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</si>
  <si>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</si>
  <si>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</si>
  <si>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</si>
  <si>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РзПр</t>
  </si>
  <si>
    <t>ЦСР</t>
  </si>
  <si>
    <t>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</si>
  <si>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</si>
  <si>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</si>
  <si>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</si>
  <si>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</si>
  <si>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Раздел подраздел</t>
  </si>
  <si>
    <t>048 1 12 01010 01 0000 120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</si>
  <si>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</si>
  <si>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Привлечение</t>
  </si>
  <si>
    <t xml:space="preserve">Единый сельскохозяйственный налог </t>
  </si>
  <si>
    <t>09</t>
  </si>
  <si>
    <t>912</t>
  </si>
  <si>
    <t>Казенные учреждения образования</t>
  </si>
  <si>
    <t>12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</si>
  <si>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</si>
  <si>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</si>
  <si>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</si>
  <si>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</si>
  <si>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</si>
  <si>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</si>
  <si>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</si>
  <si>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900 1 14 06025 05 0000 430</t>
  </si>
  <si>
    <t>900 1 11 09045 05 0000 120</t>
  </si>
  <si>
    <t>900 1 14 02053 05 0000 410</t>
  </si>
  <si>
    <t>1 08 07150 01 0000 110</t>
  </si>
  <si>
    <t>Государственная пошлина за выдачу разрешения на установку рекламной конструкции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</si>
  <si>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</si>
  <si>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</si>
  <si>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</si>
  <si>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Целевая статья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</si>
  <si>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</si>
  <si>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</si>
  <si>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Другие общегосударственные вопросы</t>
  </si>
  <si>
    <t>0113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</si>
  <si>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</si>
  <si>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Вид расходов</t>
  </si>
  <si>
    <t>Приложение №8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</si>
  <si>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</si>
  <si>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</si>
  <si>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</si>
  <si>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</si>
  <si>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Прочие межбюджетные трансферты, передаваемые бюджетам муниципальных районов</t>
  </si>
  <si>
    <t>Бюджет городского поселения</t>
  </si>
  <si>
    <t>Бюджет сельских поселений</t>
  </si>
  <si>
    <t>900 1 14 06013 13 0000 430</t>
  </si>
  <si>
    <t>1006</t>
  </si>
  <si>
    <t>Другие вопросы в области социальной политики</t>
  </si>
  <si>
    <t>000 1 13 02995 05 0000 130</t>
  </si>
  <si>
    <t>000 1 17 01050 05 0000 180</t>
  </si>
  <si>
    <t>000 1 17 05050 05 0000 180</t>
  </si>
  <si>
    <t>000 1 15 02050 05 0000 140</t>
  </si>
  <si>
    <t>(в ред. Решения Совета Шуйского муниципального района от                    №              )</t>
  </si>
  <si>
    <t>000 1 13 02995 10 0000 130</t>
  </si>
  <si>
    <t>000 1 17 01050 10 0000 180</t>
  </si>
  <si>
    <t>Невыясненные поступления, зачисляемые в бюджеты сельских поселений</t>
  </si>
  <si>
    <t>Прочие доходы от компенсации затрат бюджетов сельских поселений</t>
  </si>
  <si>
    <t>900 1 11 05025 05 0000 120</t>
  </si>
  <si>
    <t>01 0 00 00000</t>
  </si>
  <si>
    <t>01 1 00 00000</t>
  </si>
  <si>
    <t>01 1 01 00000</t>
  </si>
  <si>
    <t>01 1 01 20010</t>
  </si>
  <si>
    <t>02 0 00 00000</t>
  </si>
  <si>
    <t xml:space="preserve">Подпрограмма «Повышение профессиональной компетенции и квалификации муниципальных служащих» </t>
  </si>
  <si>
    <t>02 1 00 00000</t>
  </si>
  <si>
    <t>Основное мероприятие «Создание условий для развития местного самоуправления и муниципальной службы»</t>
  </si>
  <si>
    <t>02 1 01 00000</t>
  </si>
  <si>
    <t>02 1 01 00020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</si>
  <si>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</si>
  <si>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</si>
  <si>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</si>
  <si>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</si>
  <si>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</si>
  <si>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</si>
  <si>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>02 2 02 00000</t>
  </si>
  <si>
    <t xml:space="preserve">Обеспечение функций Администрации Шуйского муниципального района (Иные бюджетные ассигнования)         </t>
  </si>
  <si>
    <t>02 2 02 00180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</si>
  <si>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</si>
  <si>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02 2 02 00260</t>
  </si>
  <si>
    <t xml:space="preserve">Обеспечение функций Управления образования администрации Шуйского муниципального района (Иные бюджетные ассигнования)         </t>
  </si>
  <si>
    <t>02 2 02 00290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</si>
  <si>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</si>
  <si>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02 2 02 00400</t>
  </si>
  <si>
    <t>02 2 02 00460</t>
  </si>
  <si>
    <t>02 2 02 00210</t>
  </si>
  <si>
    <t>Основное мероприятие «Развитие архивного дела»</t>
  </si>
  <si>
    <t>02 2 03 00000</t>
  </si>
  <si>
    <t>02 2 03 00200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</si>
  <si>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</si>
  <si>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</si>
  <si>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02 3 00 00000</t>
  </si>
  <si>
    <t>02 3 01 00000</t>
  </si>
  <si>
    <t>02 3 01 00410</t>
  </si>
  <si>
    <t>Основное мероприятие «Обеспечение общественного порядка, профилактика правонарушений и гражданская защита населения»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</si>
  <si>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</si>
  <si>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03 0 00 00000</t>
  </si>
  <si>
    <t>03 1 00 00000</t>
  </si>
  <si>
    <t>03 1 01 00000</t>
  </si>
  <si>
    <t>03 1 01 20040</t>
  </si>
  <si>
    <t>04 0 00 00000</t>
  </si>
  <si>
    <t xml:space="preserve">Подпрограмма «Развитие субъектов малого и среднего предпринимательства в Шуйском муниципальном районе» </t>
  </si>
  <si>
    <t>04 1 00 00000</t>
  </si>
  <si>
    <t>Основное мероприятие «Создание благоприятных условий для развития малого и среднего предпринимательства»</t>
  </si>
  <si>
    <t>04 1 01 00000</t>
  </si>
  <si>
    <t>04 1 01 20050</t>
  </si>
  <si>
    <t>04 1 01 00040</t>
  </si>
  <si>
    <t>04 1 01 00050</t>
  </si>
  <si>
    <t>05 0 00 00000</t>
  </si>
  <si>
    <t>05 1 00 00000</t>
  </si>
  <si>
    <t>05 1 01 00000</t>
  </si>
  <si>
    <t>06 0 00 00000</t>
  </si>
  <si>
    <t>06 1 00 00000</t>
  </si>
  <si>
    <t>06 1 01 00000</t>
  </si>
  <si>
    <t>07 0 00 00000</t>
  </si>
  <si>
    <t>07 1 00 00000</t>
  </si>
  <si>
    <t>Основное мероприятие «Сохранение и развитие традиционной народной культуры»</t>
  </si>
  <si>
    <t>07 1 01 00000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</si>
  <si>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</si>
  <si>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</t>
  </si>
  <si>
    <t>07 1 01 80340</t>
  </si>
  <si>
    <t>Подпрограмма «Библиотечно-информационное обслуживание населения в Шуйском муниципальном районе»</t>
  </si>
  <si>
    <t>07 2 00 00000</t>
  </si>
  <si>
    <t>07 2 01 00000</t>
  </si>
  <si>
    <t>Основное мероприятие «Развитие библиотечного дела»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</si>
  <si>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</si>
  <si>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</t>
  </si>
  <si>
    <t>07 2 01 80340</t>
  </si>
  <si>
    <t>08 0 00 00000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</si>
  <si>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</si>
  <si>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</si>
  <si>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</si>
  <si>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</si>
  <si>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08 1 01 00080</t>
  </si>
  <si>
    <t>08 2 00 00000</t>
  </si>
  <si>
    <t>08 2 01 00000</t>
  </si>
  <si>
    <t>08 3 00 00000</t>
  </si>
  <si>
    <t>08 3 01 00000</t>
  </si>
  <si>
    <t>Основное мероприятие «Обеспечение жильем молодых семей»</t>
  </si>
  <si>
    <t>09 0 00 00000</t>
  </si>
  <si>
    <t>09 1 00 00000</t>
  </si>
  <si>
    <t>09 1 01 00000</t>
  </si>
  <si>
    <t>09 1 01 20070</t>
  </si>
  <si>
    <t>09 2 00 00000</t>
  </si>
  <si>
    <t>09 2 01 00000</t>
  </si>
  <si>
    <t>Основное мероприятие «Совершенствование спортивной инфраструктуры»</t>
  </si>
  <si>
    <t>09 2 01 00100</t>
  </si>
  <si>
    <t>10 0 00 00000</t>
  </si>
  <si>
    <t>Подпрограмма «Совершенствование системы дошкольного образования»</t>
  </si>
  <si>
    <t>10 1 00 00000</t>
  </si>
  <si>
    <t>10 1 01 00000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</si>
  <si>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(Предоставление субсидий бюджетным, автономным учреждениям и иным некоммерческим организациям) </t>
  </si>
  <si>
    <t>10 1 01 60040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</si>
  <si>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</si>
  <si>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</si>
  <si>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</si>
  <si>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>10 1 01 80100</t>
  </si>
  <si>
    <t>10 1 01 80170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</si>
  <si>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</si>
  <si>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</si>
  <si>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10 2 01 00000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</si>
  <si>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(Предоставление субсидий бюджетным, автономным учреждениям и иным некоммерческим организациям) </t>
  </si>
  <si>
    <t>10 2 01 60060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</si>
  <si>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</si>
  <si>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</t>
  </si>
  <si>
    <t xml:space="preserve">Обеспечение деятельности казенных учреждений общего образования (Иные бюджетные ассигнования)         </t>
  </si>
  <si>
    <t>10 2 01 00320</t>
  </si>
  <si>
    <t>10 2 01 80090</t>
  </si>
  <si>
    <t>10 2 01 80150</t>
  </si>
  <si>
    <t>Подпрограмма «Совершенствование системы дополнительного образования»</t>
  </si>
  <si>
    <t>10 3 00 00000</t>
  </si>
  <si>
    <t>10 3 01 00000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</si>
  <si>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</si>
  <si>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</t>
  </si>
  <si>
    <t>10 3 01 81420</t>
  </si>
  <si>
    <t>11 0 00 00000</t>
  </si>
  <si>
    <t>11 1 00 00000</t>
  </si>
  <si>
    <t>11 1 01 00000</t>
  </si>
  <si>
    <t>12 0 00 00000</t>
  </si>
  <si>
    <t>12 1 00 00000</t>
  </si>
  <si>
    <t>12 1 01 00000</t>
  </si>
  <si>
    <t xml:space="preserve">Обеспечение функций финансовых органов местного самоуправления Шуйского муниципального района (Иные бюджетные ассигнования)         </t>
  </si>
  <si>
    <t>12 1 01 00160</t>
  </si>
  <si>
    <t>Подпрограмма «Профилактика правонарушений, предупреждение терроризма и экстремизма, противодействие незаконному обороту наркотических средств и обеспечение безопасности граждан»</t>
  </si>
  <si>
    <t>Основное мероприятие «Организация отдыха и оздоровления детей»</t>
  </si>
  <si>
    <t>Подпрограмма «Проведение комплексных мероприятий по борьбе с преступностью, противодействие коррупции»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</si>
  <si>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</si>
  <si>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</si>
  <si>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30 9 00 00000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</si>
  <si>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(Социальное  обеспечение и иные выплаты населению)</t>
  </si>
  <si>
    <t>30 9 00 00380</t>
  </si>
  <si>
    <t>30 9 00 20030</t>
  </si>
  <si>
    <t>Приобретение в собственность Шуйского муниципального района недвижимого имущества (Капитальные вложения в объекты государственной (муниципальной) собственности)</t>
  </si>
  <si>
    <t>30 9 00 00470</t>
  </si>
  <si>
    <t>30 9 00 80370</t>
  </si>
  <si>
    <t xml:space="preserve">Субсидии бюджетным учреждениям дошкольного образования на исполнение судебных решений (Предоставление субсидий бюджетным, автономным учреждениям и иным некоммерческим организациям) </t>
  </si>
  <si>
    <t>30 9 00 60090</t>
  </si>
  <si>
    <t>30 9 00 00440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</si>
  <si>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</si>
  <si>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</si>
  <si>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</si>
  <si>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</si>
  <si>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</si>
  <si>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>31 9 00 51200</t>
  </si>
  <si>
    <t>32 0 00 00000</t>
  </si>
  <si>
    <t>32 9 00 00000</t>
  </si>
  <si>
    <t>Реализация Комплекса мер по созданию в общеобразовательных организациях, расположенных в сельской местности, условий для занятия физической культурой и спортом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</si>
  <si>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</t>
  </si>
  <si>
    <t>ОМ</t>
  </si>
  <si>
    <t>Направление расходов</t>
  </si>
  <si>
    <t>00180</t>
  </si>
  <si>
    <t>00190</t>
  </si>
  <si>
    <t>80360</t>
  </si>
  <si>
    <t>80350</t>
  </si>
  <si>
    <t>00200</t>
  </si>
  <si>
    <t>00210</t>
  </si>
  <si>
    <t>20010</t>
  </si>
  <si>
    <t>00020</t>
  </si>
  <si>
    <t>00</t>
  </si>
  <si>
    <t>20030</t>
  </si>
  <si>
    <t>00410</t>
  </si>
  <si>
    <t>00090</t>
  </si>
  <si>
    <t>00220</t>
  </si>
  <si>
    <t>20040</t>
  </si>
  <si>
    <t>20020</t>
  </si>
  <si>
    <t>20050</t>
  </si>
  <si>
    <t>00040</t>
  </si>
  <si>
    <t>00050</t>
  </si>
  <si>
    <t>00080</t>
  </si>
  <si>
    <t>00380</t>
  </si>
  <si>
    <t>00070</t>
  </si>
  <si>
    <t>20160</t>
  </si>
  <si>
    <t>60010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</si>
  <si>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</si>
  <si>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80340</t>
  </si>
  <si>
    <t>60020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</si>
  <si>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</si>
  <si>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00230</t>
  </si>
  <si>
    <t>20070</t>
  </si>
  <si>
    <t>00100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</si>
  <si>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</si>
  <si>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00260</t>
  </si>
  <si>
    <t>60040</t>
  </si>
  <si>
    <t>60050</t>
  </si>
  <si>
    <t>80100</t>
  </si>
  <si>
    <t>80170</t>
  </si>
  <si>
    <t>60060</t>
  </si>
  <si>
    <t>32</t>
  </si>
  <si>
    <t>60160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</si>
  <si>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</si>
  <si>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00110</t>
  </si>
  <si>
    <t>00320</t>
  </si>
  <si>
    <t>80090</t>
  </si>
  <si>
    <t>80150</t>
  </si>
  <si>
    <t>80160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</si>
  <si>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</si>
  <si>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60070</t>
  </si>
  <si>
    <t>81420</t>
  </si>
  <si>
    <t>00120</t>
  </si>
  <si>
    <t>80200</t>
  </si>
  <si>
    <t>Обеспечение функций Управления образования администрации Шуйского муниципального района (Иные бюджетные ассигнования)</t>
  </si>
  <si>
    <t>00290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</si>
  <si>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 обеспечение и иные выплаты населению)</t>
  </si>
  <si>
    <t>80110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</si>
  <si>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</si>
  <si>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>00440</t>
  </si>
  <si>
    <t xml:space="preserve">Обеспечение функций Управления образования администрации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</si>
  <si>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финансовых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</si>
  <si>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00160</t>
  </si>
  <si>
    <t>31</t>
  </si>
  <si>
    <t>51200</t>
  </si>
  <si>
    <t>00400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</si>
  <si>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</si>
  <si>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</si>
  <si>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</si>
  <si>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</si>
  <si>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Комплектование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</si>
  <si>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</si>
  <si>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00250</t>
  </si>
  <si>
    <t>02 2 02 00250</t>
  </si>
  <si>
    <t>00150</t>
  </si>
  <si>
    <t>Объем бюджетных ассигнований на исполнение гарантий по возможным гарантийным случаям по годам, рублей</t>
  </si>
  <si>
    <t>Муниципальные займы Шуйского муниципального района</t>
  </si>
  <si>
    <t>Сумма гарантирования, рублей</t>
  </si>
  <si>
    <t>В т.ч. по муниципальным гарантиям  (рублей)</t>
  </si>
  <si>
    <t>Расчет верхнего предела муниципального внутреннего долга Шуйского муниципального района (рублей)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</si>
  <si>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</si>
  <si>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</si>
  <si>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S0340</t>
  </si>
  <si>
    <t>07 2 01 S0340</t>
  </si>
  <si>
    <t>S0340</t>
  </si>
  <si>
    <t xml:space="preserve">Организация питания обучающихся 1-4 классов муниципальных бюджетных общеобразовательных организаций (Предоставление субсидий бюджетным, автономным учреждениям и иным некоммерческим организациям) </t>
  </si>
  <si>
    <t>10 2 01 60110</t>
  </si>
  <si>
    <t>10 2 01 00170</t>
  </si>
  <si>
    <t>60110</t>
  </si>
  <si>
    <t>00170</t>
  </si>
  <si>
    <t xml:space="preserve">1 01 02010 01 0000 110 </t>
  </si>
  <si>
    <t>1 01 02020 01 0000 110</t>
  </si>
  <si>
    <t>1 01 02030 01 0000 110</t>
  </si>
  <si>
    <t>1 01 02040 01 0000 110</t>
  </si>
  <si>
    <t>1 03 02230 01 0000 110</t>
  </si>
  <si>
    <t>1 03 02240 01 0000 110</t>
  </si>
  <si>
    <t>1 03 02250 01 0000 110</t>
  </si>
  <si>
    <t>1 03 02260 01 0000 110</t>
  </si>
  <si>
    <t>1 12 01010 01 0000 120</t>
  </si>
  <si>
    <t>1 12 01020 01 0000 120</t>
  </si>
  <si>
    <t>1 12 01030 01 0000 120</t>
  </si>
  <si>
    <t>1 12 01040 01 0000 120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</si>
  <si>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 (Закупка товаров, работ и услуг для обеспечения государственных 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</si>
  <si>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</si>
  <si>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</si>
  <si>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Совета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</si>
  <si>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Управления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</si>
  <si>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Контрольно-счетной палаты Шуйского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</si>
  <si>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контрольно-счетного органа поселений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</si>
  <si>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(Закупка товаров, работ и услуг для обеспечения государственных 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</si>
  <si>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(Закупка товаров, работ и услуг для обеспечения государственных (муниципальных) нужд) </t>
  </si>
  <si>
    <t xml:space="preserve">Проведение мероприятий по предупреждению и ликвидации последствий чрезвычайных ситуаций и стихийных бедствий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</si>
  <si>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</si>
  <si>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</si>
  <si>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Методическое, образовательное и кадровое обеспечение субъектов малого предпринимательства (Закупка товаров, работ и услуг для обеспечения государственных (муниципальных) нужд) 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</si>
  <si>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</si>
  <si>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</si>
  <si>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</si>
  <si>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 xml:space="preserve">Организация питания обучающихся 1-4 классов муниципальных казенных общеобразовательных организаций (Закупка товаров, работ и услуг для обеспечения государственных (муниципальных) нужд) </t>
  </si>
  <si>
    <t xml:space="preserve">Обеспечение деятельности подведомственных учреждений за счет прочих доходов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</si>
  <si>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</si>
  <si>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</si>
  <si>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(Закупка товаров, работ и услуг для обеспечения государственных (муниципальных) нужд) </t>
  </si>
  <si>
    <t xml:space="preserve">Техническое обслуживание технологического оборудования газовой системы отопления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</si>
  <si>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</si>
  <si>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</si>
  <si>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</si>
  <si>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выставочно-ярмарочной  деятельности (Закупка товаров, работ и услуг для обеспечения государственных (муниципальных) нужд)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</si>
  <si>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</si>
  <si>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</si>
  <si>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10 2 01 80110</t>
  </si>
  <si>
    <t>изменения</t>
  </si>
  <si>
    <t>530</t>
  </si>
  <si>
    <t>Осуществление мероприятий по работе с детьми и молодежью в Шуйском муниципальном районе» (Социальное обеспечение и иные выплаты населению)</t>
  </si>
  <si>
    <t>30 9 00 90010</t>
  </si>
  <si>
    <t>90010</t>
  </si>
  <si>
    <t xml:space="preserve"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
</t>
  </si>
  <si>
    <t>Осуществление взаимодействия с Советом муниципальных образований Ивановской области (Иные бюджетные ассигнования)</t>
  </si>
  <si>
    <t>Налог, взимаемый в связи с применением патентной системы налогообложения</t>
  </si>
  <si>
    <t>Подпрограмма «Устойчивое развитие сельских территорий Шуйского муниципального района Ивановской области 2014-2017 годы и на период до 2020 года»</t>
  </si>
  <si>
    <t>Основное мероприятие «Повышение уровня комплексного обустройства населенных пунктов, расположенных в сельской местности, объектами социальной и инженерной инфраструктуры»</t>
  </si>
  <si>
    <t>60130</t>
  </si>
  <si>
    <t>Предоставление субсидий субъектам малого и среднего предпринимательства на отдельные виды затрат (Иные бюджетные ассигнования)</t>
  </si>
  <si>
    <t>30 9 00 00270</t>
  </si>
  <si>
    <t>Основное мероприятие «Обеспечение безопасности дорожного движения»</t>
  </si>
  <si>
    <t>03 2 00 00000</t>
  </si>
  <si>
    <t>03 2 01 00000</t>
  </si>
  <si>
    <t>03 2 01 00030</t>
  </si>
  <si>
    <t>00030</t>
  </si>
  <si>
    <t xml:space="preserve">Проведение ремонта жилых помещений, принадлежащих вдовам участников Великой Отечественной войны, проживающих на территории Шуйского муниципального района (Закупка товаров, работ и услуг для обеспечения государственных (муниципальных) нужд) </t>
  </si>
  <si>
    <t>30 9 00 20120</t>
  </si>
  <si>
    <t xml:space="preserve">Оказание услуг по заполнению формы федерального статистического наблюдения № 1 - жилфонд "Сведения о жилищном фонде" Шуйского муниципального района (Закупка товаров, работ и услуг для обеспечения государственных (муниципальных) нужд) </t>
  </si>
  <si>
    <t>20120</t>
  </si>
  <si>
    <t>Таблица 1</t>
  </si>
  <si>
    <t>Общая сумма</t>
  </si>
  <si>
    <t>2020 год</t>
  </si>
  <si>
    <t>2021 год</t>
  </si>
  <si>
    <t>2022 год</t>
  </si>
  <si>
    <t>Долг на 01.01.2020 г.</t>
  </si>
  <si>
    <t>20100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</si>
  <si>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</si>
  <si>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0503</t>
  </si>
  <si>
    <t>Благоустройство</t>
  </si>
  <si>
    <t>08 4 00 00000</t>
  </si>
  <si>
    <t>08 4 01 00000</t>
  </si>
  <si>
    <t>08 5 00 00000</t>
  </si>
  <si>
    <t>08 5 01 00000</t>
  </si>
  <si>
    <t xml:space="preserve">Осуществление деятельности по организации водоснабжения и водоотведения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</si>
  <si>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Содержание мест захоронения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</si>
  <si>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деятельности по сбору и транспортированию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</si>
  <si>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>Основное мероприятие «Организация благоустройства территории Шуйского муниципального района»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</si>
  <si>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</si>
  <si>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</si>
  <si>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</si>
  <si>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</si>
  <si>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</si>
  <si>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</si>
  <si>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</si>
  <si>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 на 2013-2020 годы»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</si>
  <si>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</si>
  <si>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Осуществление деятельности по организации электро-, теплоснабжения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</si>
  <si>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 Подпрограмма «Благоустройство территории Шуйского муниципального района в рамках исполнения полномочий муниципального района»</t>
  </si>
  <si>
    <t>08 2 01 00300</t>
  </si>
  <si>
    <t>08 2 01 00310</t>
  </si>
  <si>
    <t>08 4 01 40020</t>
  </si>
  <si>
    <t>08 4 01 00280</t>
  </si>
  <si>
    <t>08 5 01 00330</t>
  </si>
  <si>
    <t>08 5 01 00350</t>
  </si>
  <si>
    <t xml:space="preserve">Приобретение и установка спортивного оборудования для спортивных площадок в административных центрах поселений Шуйского муниципального района (Закупка товаров, работ и услуг для обеспечения государственных (муниципальных) нужд) 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</si>
  <si>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</si>
  <si>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 xml:space="preserve"> Основное мероприятие «Организация ремонта муниципального жилого фонда»</t>
  </si>
  <si>
    <t>Подпрограмма «Обеспечение жильем молодых семей Шуйского муниципального района»</t>
  </si>
  <si>
    <t>Подпрограмма «Развитие спортивной инфраструктуры в Шуйском муниципальном районе»</t>
  </si>
  <si>
    <t>Подпрограмма «Проведение спортивных мероприятий в Шуйском муниципальном районе»</t>
  </si>
  <si>
    <t>00240</t>
  </si>
  <si>
    <t>00280</t>
  </si>
  <si>
    <t>00300</t>
  </si>
  <si>
    <t>00310</t>
  </si>
  <si>
    <t>00350</t>
  </si>
  <si>
    <t>Субвенции бюджетам муниципальных 
районов и городских округов  на осуществление переданных государственных  полномочий по организации двухразового питания в лагерях дневного пребывания детей-сирот и  детей, находящихся в трудной жизненной ситуации</t>
  </si>
  <si>
    <t>Субвенции бюджетам муниципальных районов и городских округов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</si>
  <si>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0405</t>
  </si>
  <si>
    <t>Сельское хозяйство и рыболовство</t>
  </si>
  <si>
    <t>80370</t>
  </si>
  <si>
    <t>Невыясненные поступления, зачисляемые в бюджеты городских поселений</t>
  </si>
  <si>
    <t>000 1 17 01050 13 0000 180</t>
  </si>
  <si>
    <t>Приложение №11</t>
  </si>
  <si>
    <t>Приложение №12</t>
  </si>
  <si>
    <t>(в процентах)</t>
  </si>
  <si>
    <t>00360</t>
  </si>
  <si>
    <t>20090</t>
  </si>
  <si>
    <t xml:space="preserve">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</si>
  <si>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>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(Предоставление субсидий бюджетным, автономным учреждениям и иным некоммерческим организациям)</t>
  </si>
  <si>
    <t>00390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</si>
  <si>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</si>
  <si>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
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</si>
  <si>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</si>
  <si>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</si>
  <si>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</si>
  <si>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</si>
  <si>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</si>
  <si>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</si>
  <si>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10 1 01 60030</t>
  </si>
  <si>
    <t>10 1 01 60140</t>
  </si>
  <si>
    <t>10 1 01 60150</t>
  </si>
  <si>
    <t>10 1 01 60170</t>
  </si>
  <si>
    <t>10 2 01 60180</t>
  </si>
  <si>
    <t>10 2 01 60190</t>
  </si>
  <si>
    <t>10 2 01 60200</t>
  </si>
  <si>
    <t>10 2 01 60210</t>
  </si>
  <si>
    <t>60030</t>
  </si>
  <si>
    <t>60140</t>
  </si>
  <si>
    <t>60150</t>
  </si>
  <si>
    <t>60170</t>
  </si>
  <si>
    <t>60180</t>
  </si>
  <si>
    <t>60190</t>
  </si>
  <si>
    <t>60200</t>
  </si>
  <si>
    <t>60210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</si>
  <si>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</si>
  <si>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0703</t>
  </si>
  <si>
    <t>Дополнительное образование детей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</si>
  <si>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</si>
  <si>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</si>
  <si>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</si>
  <si>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</si>
  <si>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</si>
  <si>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</si>
  <si>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</si>
  <si>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</si>
  <si>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</si>
  <si>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</si>
  <si>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</si>
  <si>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</si>
  <si>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Таблица 2</t>
  </si>
  <si>
    <t>540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</si>
  <si>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</si>
  <si>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08 5 01 10010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</si>
  <si>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(Иные межбюджетные трансферты)</t>
  </si>
  <si>
    <t>10010</t>
  </si>
  <si>
    <t xml:space="preserve">Организация временного трудоустройства несовершеннолетних граждан в возрасте от 14 до 18 лет в свободное от учебы время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</t>
  </si>
  <si>
    <t>S0190</t>
  </si>
  <si>
    <t>0850110010</t>
  </si>
  <si>
    <t>82400</t>
  </si>
  <si>
    <t>30 9 00 82400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</si>
  <si>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</t>
  </si>
  <si>
    <t>30 9 00 20130</t>
  </si>
  <si>
    <t xml:space="preserve">Оказание услуг по обследованию состояния строительных конструкций жилого дома и выдачи технического заключения (Закупка товаров, работ и услуг для обеспечения государственных (муниципальных) нужд) </t>
  </si>
  <si>
    <t>03 1 01 10020</t>
  </si>
  <si>
    <t>10020</t>
  </si>
  <si>
    <t xml:space="preserve">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(Иные межбюджетные трансферты) </t>
  </si>
  <si>
    <t>08 2 01 10030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</si>
  <si>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 (Иные межбюджетные трансферты)</t>
  </si>
  <si>
    <t>Таблица 3</t>
  </si>
  <si>
    <t>0310110020</t>
  </si>
  <si>
    <t>Таблица 4</t>
  </si>
  <si>
    <t>0820110030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</si>
  <si>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</si>
  <si>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30 9 00 00430</t>
  </si>
  <si>
    <t xml:space="preserve">Проведение ремонта помещения спортивного зала с. Афанасьевское Шуйского муниципального района (Закупка товаров, работ и услуг для обеспечения государственных (муниципальных) нужд) </t>
  </si>
  <si>
    <t>00430</t>
  </si>
  <si>
    <t>Субсидия бюджетам муниципальных районов на поддержку отрасли культуры</t>
  </si>
  <si>
    <t>07 2 01 L5191</t>
  </si>
  <si>
    <t>L5191</t>
  </si>
  <si>
    <t>Субвенции бюджетам бюджетной системы Российской Федерации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</si>
  <si>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 (Закупка товаров, работ и услуг для обеспечения государственных (муниципальных) нужд) 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</si>
  <si>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</si>
  <si>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</si>
  <si>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</si>
  <si>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</si>
  <si>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</si>
  <si>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</si>
  <si>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</si>
  <si>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</si>
  <si>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</si>
  <si>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</si>
  <si>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</si>
  <si>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</si>
  <si>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</si>
  <si>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</si>
  <si>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</si>
  <si>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</si>
  <si>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</si>
  <si>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</si>
  <si>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</si>
  <si>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</si>
  <si>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</si>
  <si>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</si>
  <si>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000 1 05 02000 02 0000 110</t>
  </si>
  <si>
    <t>000 1 05 02010 02 0000 110</t>
  </si>
  <si>
    <t xml:space="preserve"> 000 1 05 03000 01 0000 110</t>
  </si>
  <si>
    <t>000 1 05 03010 01 0000 110</t>
  </si>
  <si>
    <t>182 1 05 03010 01 0000 110</t>
  </si>
  <si>
    <t>000 1 05 04000 02 0000 110</t>
  </si>
  <si>
    <t>000 1 05 04020 02 0000 110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</si>
  <si>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</si>
  <si>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</si>
  <si>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</si>
  <si>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</si>
  <si>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</si>
  <si>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</si>
  <si>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</si>
  <si>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</si>
  <si>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</si>
  <si>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</si>
  <si>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</si>
  <si>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</si>
  <si>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</si>
  <si>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</si>
  <si>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</si>
  <si>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</si>
  <si>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</si>
  <si>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000 1 12 00000 00 0000 000</t>
  </si>
  <si>
    <t>ПЛАТЕЖИ ПРИ ПОЛЬЗОВАНИИ ПРИРОДНЫМИ РЕСУРСАМИ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</si>
  <si>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</si>
  <si>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</si>
  <si>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</si>
  <si>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</si>
  <si>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</si>
  <si>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</si>
  <si>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</si>
  <si>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</si>
  <si>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</si>
  <si>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</si>
  <si>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</si>
  <si>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</si>
  <si>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</si>
  <si>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</si>
  <si>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</si>
  <si>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</si>
  <si>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</si>
  <si>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</si>
  <si>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</si>
  <si>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</si>
  <si>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</si>
  <si>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</si>
  <si>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</si>
  <si>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</si>
  <si>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</si>
  <si>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</si>
  <si>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</si>
  <si>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</si>
  <si>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</si>
  <si>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</si>
  <si>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</si>
  <si>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</si>
  <si>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</si>
  <si>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</si>
  <si>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</si>
  <si>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</si>
  <si>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</si>
  <si>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</si>
  <si>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</si>
  <si>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на поддержку отрасли культуры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</si>
  <si>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</si>
  <si>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</si>
  <si>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</si>
  <si>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</si>
  <si>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</si>
  <si>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</si>
  <si>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1 05 02010 02 0000 110</t>
  </si>
  <si>
    <t>1 05 03010 01 0000 110</t>
  </si>
  <si>
    <t>10 2 02 00000</t>
  </si>
  <si>
    <t>00060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</si>
  <si>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</si>
  <si>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S1420</t>
  </si>
  <si>
    <t>S1420</t>
  </si>
  <si>
    <t>182 1 05 04020 02 0000 110</t>
  </si>
  <si>
    <t>182 1 05 02010 02 0000 110</t>
  </si>
  <si>
    <t>00370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</si>
  <si>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</si>
  <si>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</si>
  <si>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</si>
  <si>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</si>
  <si>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</si>
  <si>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</si>
  <si>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2020 год  руб.</t>
  </si>
  <si>
    <t>2023 год</t>
  </si>
  <si>
    <t>Сведения о верхнем пределе муниципального внутреннего долга Шуйского муниципального района на 01.01.2021 года</t>
  </si>
  <si>
    <t xml:space="preserve">Верхний предел муниципального внутреннего долга Шуйского муниципального района по состоянию на 01.01.2021 года - 00,00 рублей, в т.ч. по муниципальным гарантиям - 00,00 рублей. </t>
  </si>
  <si>
    <t>Увеличение долга в 2020 году</t>
  </si>
  <si>
    <t>Погашение долга в 2020 году</t>
  </si>
  <si>
    <t>Долг на 01.01.2021 г.</t>
  </si>
  <si>
    <t>Муниципальная программа «Совершенствование организации муниципального управления»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</si>
  <si>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</si>
  <si>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</si>
  <si>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>32 9 00 L0971</t>
  </si>
  <si>
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</si>
  <si>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 xml:space="preserve">Составление списков кандидатов в присяжные заседатели федеральных судов общей юрисдикции в Российской Федерации (Межбюджетные трансферты)    </t>
  </si>
  <si>
    <t xml:space="preserve">Организация и проведение специальной оценки условий труда (СОУТ) в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</si>
  <si>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«Улучшение условий и охраны труда в Шуйском муниципальном районе»</t>
  </si>
  <si>
    <t xml:space="preserve">Организация и проведение специальной оценки условий труда (СОУТ)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</si>
  <si>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</si>
  <si>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</si>
  <si>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</si>
  <si>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</si>
  <si>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</si>
  <si>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Основное мероприятие «Управление и распоряжение земельными ресурсами Шуйского муниципального района»</t>
  </si>
  <si>
    <t>02 1 02 00000</t>
  </si>
  <si>
    <t>02 1 02 00230</t>
  </si>
  <si>
    <t>02 4 00 00000</t>
  </si>
  <si>
    <t>02 4 01 00000</t>
  </si>
  <si>
    <t>02 4 01 00150</t>
  </si>
  <si>
    <t>Основное мероприятие "Организация дополнительного пенсионного обеспечения отдельных категорий граждан"</t>
  </si>
  <si>
    <t>Основное мероприятие «Осуществление полномочий в области дорожного хозяйства»</t>
  </si>
  <si>
    <t>Подпрограмма «Содержание, реконструкция, капитальный и текущий ремонт дорожной сети Шуйского муниципального района»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</si>
  <si>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</si>
  <si>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</si>
  <si>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 xml:space="preserve">Установка дорожных знаков (Закупка товаров, работ и услуг для обеспечения государственных (муниципальных) нужд)  </t>
  </si>
  <si>
    <t>Основное мероприятие «Реализация мероприятий по развитию и модернизации систем водоснабжения, водоотведения, электроснабжения, теплоснабжения Шуйского муниципального района»</t>
  </si>
  <si>
    <t>Основное мероприятие «Обеспечение инженерной инфраструктурой земельных участков Шуйского муниципального района»</t>
  </si>
  <si>
    <t>08 2 02 00000</t>
  </si>
  <si>
    <t>08 2 02 20100</t>
  </si>
  <si>
    <t>08 2 02 00240</t>
  </si>
  <si>
    <t xml:space="preserve">Организация деятельности по сбору и транспортировке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</si>
  <si>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Оказание услуг по электро-, теплоснабжению муниципального имущества (Закупка товаров, работ и услуг для обеспечения государственных (муниципальных) нужд) </t>
  </si>
  <si>
    <t>Основное мероприятие «Организация физкультурно-спортивных мероприятий, спартакиад»</t>
  </si>
  <si>
    <t xml:space="preserve">Организация и проведение районных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</si>
  <si>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 xml:space="preserve"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 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</si>
  <si>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обеспечение и иные выплаты населению)</t>
  </si>
  <si>
    <t>09 2 01 00090</t>
  </si>
  <si>
    <t>Основное мероприятие "Обеспечение исполнения Администрацией функциональных обязанностей"</t>
  </si>
  <si>
    <t>Основное мероприятие «Управление и распоряжение муниципальным имуществом Шуйского муниципального района»</t>
  </si>
  <si>
    <t>Обустройство остановочных павильонов (Закупка товаров, работ и услуг для обеспечения государственных (муниципальных) нужд)</t>
  </si>
  <si>
    <t>04 1 02 00000</t>
  </si>
  <si>
    <t>04 1 02 60130</t>
  </si>
  <si>
    <t>Основное мероприятие «Предоставление субсидий субъектам малого и среднего предпринимательства»</t>
  </si>
  <si>
    <t>Подпрограмма «Содержание и ремонт муниципального жилого фонда Шуйского муниципального района»</t>
  </si>
  <si>
    <t>08 6 00 00000</t>
  </si>
  <si>
    <t>08 6 01 00000</t>
  </si>
  <si>
    <t>Основное мероприятие «Обеспечение доступного и качественного дошкольного образования для всех категорий детей»</t>
  </si>
  <si>
    <t>Основное мероприятие «Обеспечение доступного и качественного дополнительного образования детей»</t>
  </si>
  <si>
    <t>Подпрограмма «Обеспечение и организация бюджетного процесса в Шуйском муниципальном районе»</t>
  </si>
  <si>
    <t>Основное мероприятие «Организация и проведение специальной оценки условий труда»</t>
  </si>
  <si>
    <t>Основное мероприятие «Организация обучения по охране труда работников»</t>
  </si>
  <si>
    <t>Основное мероприятие «Информационное обеспечение мероприятий, связанных с вопросами по улучшению условий и охраны труда»</t>
  </si>
  <si>
    <t>Основное мероприятие «Реализация мероприятий по обеспечению правопорядка»</t>
  </si>
  <si>
    <t xml:space="preserve">Организация обучения по охране труда работников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</si>
  <si>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</si>
  <si>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</si>
  <si>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Обеспечение функций Совета Шуйского муниципального района (Социальное обеспечение и иные выплаты населению)</t>
  </si>
  <si>
    <t>Подпрограмма «Обеспечение деятельности МКУ "Управление административно-хозяйственного обеспечения"</t>
  </si>
  <si>
    <t>03 1 01 20140</t>
  </si>
  <si>
    <t>03 1 01 20150</t>
  </si>
  <si>
    <t>03 1 01 20170</t>
  </si>
  <si>
    <t>04 1 02 60270</t>
  </si>
  <si>
    <t>30 9 00 20180</t>
  </si>
  <si>
    <t xml:space="preserve">Личное страхование народных дружинников на период их участия в проводимых мероприятиях по охране общественного порядка (Закупка товаров, работ и услуг для обеспечения государственных (муниципальных) нужд) 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</si>
  <si>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</si>
  <si>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</si>
  <si>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</si>
  <si>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 </t>
  </si>
  <si>
    <t>00490</t>
  </si>
  <si>
    <t>20140</t>
  </si>
  <si>
    <t>20150</t>
  </si>
  <si>
    <t>20170</t>
  </si>
  <si>
    <t>60270</t>
  </si>
  <si>
    <t>00520</t>
  </si>
  <si>
    <t>00590</t>
  </si>
  <si>
    <t xml:space="preserve">Обеспечение функций Совета Шуйского муниципального района (Социальное обеспечение и иные выплаты населению)    </t>
  </si>
  <si>
    <t>00540</t>
  </si>
  <si>
    <t>00550</t>
  </si>
  <si>
    <t>00580</t>
  </si>
  <si>
    <t>00530</t>
  </si>
  <si>
    <t>20180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</si>
  <si>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</si>
  <si>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Обеспечение деятельности МКУ Управление административно-хозяйственного обеспечения (Иные бюджетные ассигнования) 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</si>
  <si>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</si>
  <si>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 Подпрограмма «Капитальный ремонт общего имущества многоквартирных жилых домов и муниципального жилищного фонда»</t>
  </si>
  <si>
    <t>Основное мероприятие «Выполнение технических заключений о состоянии технических конструкций жилых домов и жилых помещений»</t>
  </si>
  <si>
    <t xml:space="preserve">Разработка и проведение государственной экспертизы ПСД жилых домов и жилых помещений (Закупка товаров, работ и услуг для обеспечения государственных (муниципальных) нужд) </t>
  </si>
  <si>
    <t>08 6 01 20200</t>
  </si>
  <si>
    <t>6</t>
  </si>
  <si>
    <t>20200</t>
  </si>
  <si>
    <t>Приложение №9</t>
  </si>
  <si>
    <t>400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</si>
  <si>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</si>
  <si>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</si>
  <si>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</si>
  <si>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Стимулирование членов общественных объединений правоохранительной направленности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</si>
  <si>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Материально-техническое обеспечение деятельности членов общественных объединений правоохранительной направленности  (Закупка товаров, работ и услуг для обеспечения государственных (муниципальных) нужд) </t>
  </si>
  <si>
    <t>00600</t>
  </si>
  <si>
    <t>900 1 11 05013 05 0000 120</t>
  </si>
  <si>
    <t>900 1 11 05013 13 0000 120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</si>
  <si>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</si>
  <si>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</si>
  <si>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900 1 14 06013 05 0000 430</t>
  </si>
  <si>
    <t>000 1 14 06013 05 0000 430</t>
  </si>
  <si>
    <t>000 1 11 05013 05 0000 120</t>
  </si>
  <si>
    <t>1 14 06013 05 0000 430</t>
  </si>
  <si>
    <t>Содержание и ремонт пешеходного перехода через р.Теза в с.Зеленый Бор (Закупка товаров, работ и услуг для обеспечения государственных (муниципальных) нужд)</t>
  </si>
  <si>
    <t>81950</t>
  </si>
  <si>
    <t>10 2 01 S1950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</si>
  <si>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</si>
  <si>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</si>
  <si>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S1950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</si>
  <si>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</si>
  <si>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Основное мероприятие «Организация бюджетного процесса Шуйского муниципального района»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</si>
  <si>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</si>
  <si>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Предоставление социальных выплат молодым семьям на приобретение (строительство) жилого помещения (Социальное  обеспечение и иные выплаты населению)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</si>
  <si>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</si>
  <si>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</si>
  <si>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</si>
  <si>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</si>
  <si>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08 3 01 L4970</t>
  </si>
  <si>
    <t>L4970</t>
  </si>
  <si>
    <t>Субсидия бюджетам муниципальных районов,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</si>
  <si>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</si>
  <si>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10 2 02 83110</t>
  </si>
  <si>
    <t>10 2 02 S3110</t>
  </si>
  <si>
    <t>S3110</t>
  </si>
  <si>
    <t xml:space="preserve"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</si>
  <si>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Проведение работ по капитальному ремонту жилого здания (Закупка товаров, работ и услуг для обеспечения государственных (муниципальных) нужд) </t>
  </si>
  <si>
    <t>00650</t>
  </si>
  <si>
    <t>00660</t>
  </si>
  <si>
    <t>Подпрограмма «Обеспечение деятельности МКУ«Единая дежурно-диспетчерская служба Шуйского муниципального района»</t>
  </si>
  <si>
    <t>Основное мероприятие «Обеспечение исполнения Администрацией функциональных обязанностей»</t>
  </si>
  <si>
    <t xml:space="preserve">Обеспечение деятельности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</si>
  <si>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 xml:space="preserve">Обеспечение деятельности МКУ "Единая дежурно-диспетчерская служба Шуйского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</si>
  <si>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МКУ "Единая дежурно-диспетчерская служба Шуйского муниципального района" (Иные бюджетные ассигнования) </t>
  </si>
  <si>
    <t>00670</t>
  </si>
  <si>
    <t>Обеспечение функций Администрации Шуйского муниципального района (Социальное обеспечение и иные выплаты населению)</t>
  </si>
  <si>
    <t>03 1 01 S0510</t>
  </si>
  <si>
    <t>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</si>
  <si>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</si>
  <si>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</si>
  <si>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</si>
  <si>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</si>
  <si>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1101</t>
  </si>
  <si>
    <t>Физическая культура</t>
  </si>
  <si>
    <t>S3160</t>
  </si>
  <si>
    <t>83160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</si>
  <si>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</si>
  <si>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Софинансирование расходов на разработку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</si>
  <si>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10 1 01 60350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</si>
  <si>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здания/помещения (Предоставление субсидий бюджетным, автономным учреждениям и иным некоммерческим организациям) </t>
  </si>
  <si>
    <t xml:space="preserve">10 </t>
  </si>
  <si>
    <t>60350</t>
  </si>
  <si>
    <t>00690</t>
  </si>
  <si>
    <t xml:space="preserve">Проведение мероприятий по изготовлению и установке указателей границ Шуйского муниципального района в полосе отвода автомобильной дороги "Ростов-Иваново-Нижний Новгород" (Закупка товаров, работ и услуг для обеспечения государственных (муниципальных) нужд)  </t>
  </si>
  <si>
    <t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</t>
  </si>
  <si>
    <t>Основное мероприятие «Реализация мероприятий в области антитеррористической и антинаркотической пропаганды»</t>
  </si>
  <si>
    <t>Основное мероприятие «Реализация мероприятий в области профилактики правонарушений и антикоррупционной пропаганды»</t>
  </si>
  <si>
    <t xml:space="preserve">Изготовление наглядной агитации (листовок, плакатов, буклетов и др.) в области профилактики правонарушений и антикоррупционной пропаганды (Закупка товаров, работ и услуг для обеспечения государственных (муниципальных) нужд) </t>
  </si>
  <si>
    <t>20210</t>
  </si>
  <si>
    <t>Плата за размещение отходов производства</t>
  </si>
  <si>
    <t>048 1 12 01041 01 0000 120</t>
  </si>
  <si>
    <t>08 6 01 00650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</si>
  <si>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</si>
  <si>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</si>
  <si>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2021 год  руб.</t>
  </si>
  <si>
    <t>2024 год</t>
  </si>
  <si>
    <t>Сведения о верхнем пределе муниципального внутреннего долга Шуйского муниципального района на 01.01.2022 года</t>
  </si>
  <si>
    <t xml:space="preserve">Верхний предел муниципального внутреннего долга Шуйского муниципального района по состоянию на 01.01.2022 года - 00,00 рублей, в т.ч. по муниципальным гарантиям - 00,00 рублей. </t>
  </si>
  <si>
    <t>Увеличение долга в 2021 году</t>
  </si>
  <si>
    <t>Погашение долга в 2021 году</t>
  </si>
  <si>
    <t>Долг на 01.01.2022 г.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</si>
  <si>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</si>
  <si>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</si>
  <si>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</t>
  </si>
  <si>
    <t>00560</t>
  </si>
  <si>
    <t>40020</t>
  </si>
  <si>
    <t xml:space="preserve">Обеспечение выполнения работ по ремонту муниципального жилого фонда за счет средств найма (Закупка товаров, работ и услуг для обеспечения государственных (муниципальных) нужд)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</si>
  <si>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</si>
  <si>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7</t>
  </si>
  <si>
    <t xml:space="preserve">Организация обучения по охране труда работников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</si>
  <si>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Проведение мероприятий в рамках внедрения АПК "Безопасный город" (Закупка товаров, работ и услуг для обеспечения государственных (муниципальных) нужд) </t>
  </si>
  <si>
    <t>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(Иные бюджетные ассигнования)</t>
  </si>
  <si>
    <t>037 2 02 15001 05 0000 150</t>
  </si>
  <si>
    <t>000 2 02 15001 05 0000 150</t>
  </si>
  <si>
    <t>000 2 02 15001 00 0000 150</t>
  </si>
  <si>
    <t>000 2 02 10000 00 0000 150</t>
  </si>
  <si>
    <t>000 2 02 15002 00 0000 150</t>
  </si>
  <si>
    <t>000 2 02 15002 05 0000 150</t>
  </si>
  <si>
    <t>037 2 02 15002 05 0000 150</t>
  </si>
  <si>
    <t>000 2 02 20000 00 0000 150</t>
  </si>
  <si>
    <t>000 2 02 20216 00 0000 150</t>
  </si>
  <si>
    <t>000 2 02 20216 05 0000 150</t>
  </si>
  <si>
    <t>037 2 02 20216 05 0000 150</t>
  </si>
  <si>
    <t>000 2 02 25097 00 0000 150</t>
  </si>
  <si>
    <t>000 2 02 25097 05 0000 150</t>
  </si>
  <si>
    <t>037 2 02 25097 05 0000 150</t>
  </si>
  <si>
    <t>000 2 02 25497 00 0000 150</t>
  </si>
  <si>
    <t>000 2 02 25497 05 0000 150</t>
  </si>
  <si>
    <t>037 2 02 25497 05 0000 150</t>
  </si>
  <si>
    <t>000 2 02 25519 00 0000 150</t>
  </si>
  <si>
    <t>000 2 02 25519 05 0000 150</t>
  </si>
  <si>
    <t>037 2 02 25519 05 0000 150</t>
  </si>
  <si>
    <t>000 2 02 29999 00 0000 150</t>
  </si>
  <si>
    <t>000 2 02 29999 05 0000 150</t>
  </si>
  <si>
    <t>037 2 02 29999 05 0000 150</t>
  </si>
  <si>
    <t>000 2 02 30000 00 0000 150</t>
  </si>
  <si>
    <t>000 2 02 30024 00 0000 150</t>
  </si>
  <si>
    <t>000 2 02 30024 05 0000 150</t>
  </si>
  <si>
    <t>037 2 02 30024 05 0000 150</t>
  </si>
  <si>
    <t>000 2 02 35082 00 0000 150</t>
  </si>
  <si>
    <t>000 2 02 35082 05 0000 150</t>
  </si>
  <si>
    <t>037 2 02 35082 05 0000 150</t>
  </si>
  <si>
    <t>000 2 02 35120 00 0000 150</t>
  </si>
  <si>
    <t>000 2 02 35120 05 0000 150</t>
  </si>
  <si>
    <t>037 2 02 35120 05 0000 150</t>
  </si>
  <si>
    <t>000 2 02 39999 00 0000 150</t>
  </si>
  <si>
    <t>000 2 02 39999 05 0000 150</t>
  </si>
  <si>
    <t>037 2 02 39999 05 0000 150</t>
  </si>
  <si>
    <t>000 2 02 40000 00 0000 150</t>
  </si>
  <si>
    <t>000 2 19 00000 05 0000 150</t>
  </si>
  <si>
    <t>000 2 19 60010 05 0000 150</t>
  </si>
  <si>
    <t>037 2 19 60010 05 0000 150</t>
  </si>
  <si>
    <t xml:space="preserve"> Подпрограмма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</si>
  <si>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08 7 00 00000</t>
  </si>
  <si>
    <t>Основное мероприятие «Обеспечение жилыми помещениями детей-сирот и детей, оставшихся без попечения родителей, лиц из их числа по договорам найма специализированных жилых помещений»</t>
  </si>
  <si>
    <t>08 7 01 00000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</si>
  <si>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</si>
  <si>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2 02 15001 05 0000 150</t>
  </si>
  <si>
    <t>2 02 15002 05 0000 150</t>
  </si>
  <si>
    <t>2 02 19999 05 0000 150</t>
  </si>
  <si>
    <t>2 02 25497 05 0000 150</t>
  </si>
  <si>
    <t>2 02 25097 05 0000 150</t>
  </si>
  <si>
    <t>2 02 20216 05 0000 150</t>
  </si>
  <si>
    <t>2 02 25519 05 0000 150</t>
  </si>
  <si>
    <t>2 02 29999 05 0000 150</t>
  </si>
  <si>
    <t>2 02 30024 05 0000 150</t>
  </si>
  <si>
    <t xml:space="preserve">2 02 35082 05 0000 150
</t>
  </si>
  <si>
    <t>2 02 35120 05 0000 150</t>
  </si>
  <si>
    <t>2 02 39999 05 0000 150</t>
  </si>
  <si>
    <t>2 02 90014 05 0000 150</t>
  </si>
  <si>
    <t>2 02 90024 05 0000 150</t>
  </si>
  <si>
    <t>2 02 45160 05 0000 150</t>
  </si>
  <si>
    <t>2 02 49999 05 0000 150</t>
  </si>
  <si>
    <t>2 19 60010 05 0000 150</t>
  </si>
  <si>
    <t>Подпрограмма «Управление муниципальным долгом Шуйского муниципального района»</t>
  </si>
  <si>
    <t>Основное мероприятие «Повышение эффективности управления муниципальным долгом»</t>
  </si>
  <si>
    <t>12 2 00 00000</t>
  </si>
  <si>
    <t>12 2 01 00000</t>
  </si>
  <si>
    <t xml:space="preserve">Обслуживание муниципального долга Шуйского муниципального района (Закупка товаров, работ и услуг для обеспечения государственных (муниципальных) нужд) </t>
  </si>
  <si>
    <t>12 2 01 20080</t>
  </si>
  <si>
    <t>08 4 01 60080</t>
  </si>
  <si>
    <t>60080</t>
  </si>
  <si>
    <t>Основное мероприятие «Организация и проведение мероприятий, направленных на повышение уровня безопасности дорожного движения»</t>
  </si>
  <si>
    <t xml:space="preserve">Проведение лекций, семинаров и практических занятий по профилактике безопасности дорожного движения в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</si>
  <si>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Размещение материалов по формированию законопослушного поведения участников дорожного движения и профилактике дорожно-транспортного травматизма на интернет ресурсах администрации Шуйского муниципального района (Закупка товаров, работ и услуг для обеспечения государственных (муниципальных) нужд) </t>
  </si>
  <si>
    <t>00610</t>
  </si>
  <si>
    <t>00620</t>
  </si>
  <si>
    <t>Подпрограмма «Формирование законопослушного поведения участников дорожного движения и профилактика дорожно-транспортного травматизма»</t>
  </si>
  <si>
    <t>60120</t>
  </si>
  <si>
    <t>60220</t>
  </si>
  <si>
    <t>60250</t>
  </si>
  <si>
    <t>60260</t>
  </si>
  <si>
    <t>60280</t>
  </si>
  <si>
    <t>10 1 01 60120</t>
  </si>
  <si>
    <t>10 1 01 60220</t>
  </si>
  <si>
    <t>10 2 01 60250</t>
  </si>
  <si>
    <t>10 2 01 60260</t>
  </si>
  <si>
    <t>10 2 01 60280</t>
  </si>
  <si>
    <t xml:space="preserve">Субсидия на реализацию мероприятий по проведению текущего и капитального ремонтов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</si>
  <si>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</si>
  <si>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</si>
  <si>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</si>
  <si>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</si>
  <si>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бюджетных учреждениях культуры (Предоставление субсидий бюджетным, автономным учреждениям и иным некоммерческим организациям) </t>
  </si>
  <si>
    <t>60370</t>
  </si>
  <si>
    <t xml:space="preserve">Субсидия на реализацию мероприятий по приобретению основных средств в автономных учреждениях культуры (Предоставление субсидий бюджетным, автономным учреждениям и иным некоммерческим организациям) </t>
  </si>
  <si>
    <t>60360</t>
  </si>
  <si>
    <t xml:space="preserve">Субсидия на реализацию мероприятий по проведению текущего и капитального ремонтов в автономных учреждениях культуры (Предоставление субсидий бюджетным, автономным учреждениям и иным некоммерческим организациям) </t>
  </si>
  <si>
    <t>60380</t>
  </si>
  <si>
    <t xml:space="preserve">Субсидия на реализацию мероприятий по приобретению основных средств в бюджетных учреждениях культуры (Предоставление субсидий бюджетным, автономным учреждениям и иным некоммерческим организациям) </t>
  </si>
  <si>
    <t>60340</t>
  </si>
  <si>
    <t>07 1 01 60340</t>
  </si>
  <si>
    <t>07 1 01 60370</t>
  </si>
  <si>
    <t>07 2 01 60380</t>
  </si>
  <si>
    <t>07 2 01 60360</t>
  </si>
  <si>
    <t>2 08 05000 05 0000 150</t>
  </si>
  <si>
    <t>10 3 01 60400</t>
  </si>
  <si>
    <t xml:space="preserve">Субсидия на реализацию мероприятий по приобретению основных средств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</si>
  <si>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>60400</t>
  </si>
  <si>
    <t>10 1 01 60410</t>
  </si>
  <si>
    <t>60410</t>
  </si>
  <si>
    <t>60420</t>
  </si>
  <si>
    <t>10 1 01 60420</t>
  </si>
  <si>
    <t>10 2 01 60430</t>
  </si>
  <si>
    <t>60430</t>
  </si>
  <si>
    <t>10 3 01 60440</t>
  </si>
  <si>
    <t>10 3 01 60450</t>
  </si>
  <si>
    <t>10 3 01 60460</t>
  </si>
  <si>
    <t>60440</t>
  </si>
  <si>
    <t>60450</t>
  </si>
  <si>
    <t>60460</t>
  </si>
  <si>
    <t>07 1 01 60470</t>
  </si>
  <si>
    <t>60470</t>
  </si>
  <si>
    <t>07 2 01 60480</t>
  </si>
  <si>
    <t>60480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</si>
  <si>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</si>
  <si>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</si>
  <si>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</si>
  <si>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бюджетных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</si>
  <si>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автономных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</si>
  <si>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</si>
  <si>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</si>
  <si>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общеобразовательных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</si>
  <si>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</si>
  <si>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</si>
  <si>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</si>
  <si>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>ВСЕГО:</t>
  </si>
  <si>
    <t>Осуществление деятельности по организации водоснабжения и водоотведения на территории Шуйского муниципального района (Капитальные вложения в объекты государственной (муниципальной) собственности)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</si>
  <si>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 (Закупка товаров, работ и услуг для обеспечения государственных (муниципальных) нужд) </t>
  </si>
  <si>
    <t>08 2 01 00630</t>
  </si>
  <si>
    <t>08 2 01 00640</t>
  </si>
  <si>
    <t>08 5 01 00680</t>
  </si>
  <si>
    <t xml:space="preserve">Актуализация схем водоснабжения, водоотведения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</si>
  <si>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Актуализация схем теплоснабжения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</si>
  <si>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генеральной схемы санитарной очистки территории Шуйского муниципального района  (Закупка товаров, работ и услуг для обеспечения государственных (муниципальных) нужд) </t>
  </si>
  <si>
    <t>00630</t>
  </si>
  <si>
    <t>00640</t>
  </si>
  <si>
    <t>00680</t>
  </si>
  <si>
    <t>32 9 00 00710</t>
  </si>
  <si>
    <t>00710</t>
  </si>
  <si>
    <t xml:space="preserve">Создание в казенных учреждениях общего образования,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</si>
  <si>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(Иные бюджетные ассигнования)</t>
  </si>
  <si>
    <t>00720</t>
  </si>
  <si>
    <t>Плата за размещение твердых коммунальных отходов</t>
  </si>
  <si>
    <t>048 1 12 01042 01 0000 120</t>
  </si>
  <si>
    <t>1 12 01041 01 0000 120</t>
  </si>
  <si>
    <t>1 12 01042 01 0000 120</t>
  </si>
  <si>
    <t>037 2 02 27567 05 0000 150</t>
  </si>
  <si>
    <t>000 2 02 27567 05 0000 150</t>
  </si>
  <si>
    <t>000 2 02 27567 00 0000 150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</si>
  <si>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</si>
  <si>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</si>
  <si>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2 02 27567 05 0000 150</t>
  </si>
  <si>
    <t>03 1 01 20250</t>
  </si>
  <si>
    <t>Разработка проектно-сметной документации на капитальный ремонт моста через мелиоративную канаву на автомобильной дороге Васильевское - Меньщиково в Шуйском муниципальном районе (Закупка товаров, работ и услуг для обеспечения государственных (муниципальных) нужд)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</si>
  <si>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инфраструктуры»</t>
  </si>
  <si>
    <t>20250</t>
  </si>
  <si>
    <r>
      <t>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11 09035 05 0000 120</t>
    </r>
  </si>
  <si>
    <t>08 7 01 R0820</t>
  </si>
  <si>
    <t xml:space="preserve">Изготовление наглядной агитации (листовок, плакатов, буклетов и др.) в области антитеррористической пропаганды (Закупка товаров, работ и услуг для обеспечения государственных (муниципальных) нужд) </t>
  </si>
  <si>
    <t xml:space="preserve">Изготовление наглядной агитации (листовок, плакатов, буклетов и др.) в области профилактики наркомании и алкоголизации населения (Закупка товаров, работ и услуг для обеспечения государственных (муниципальных) нужд) </t>
  </si>
  <si>
    <t>20260</t>
  </si>
  <si>
    <t>R0820</t>
  </si>
  <si>
    <t>32 9 E2 50970</t>
  </si>
  <si>
    <t>E2</t>
  </si>
  <si>
    <t>50970</t>
  </si>
  <si>
    <t>07 2 01 L5192</t>
  </si>
  <si>
    <t>L5192</t>
  </si>
  <si>
    <t>Подключение муниципальных общедоступных библиотек к информационно-коммуникационной сети «Интернет» и развитие библиотечного дела с учетом задачи расширения информационных технологий и оцифровки (Предоставление субсидий бюджетным, автономным учреждениям и иным некоммерческим организациям)</t>
  </si>
  <si>
    <t>000 2 02 20077 00 0000 150</t>
  </si>
  <si>
    <t>000 2 02 20077 05 0000 150</t>
  </si>
  <si>
    <t>037 2 02 20077 05 0000 150</t>
  </si>
  <si>
    <t xml:space="preserve">Субсидии бюджетам на софинансирование капитальных вложений в объекты государственной (муниципальной) собственности 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</si>
  <si>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</t>
  </si>
  <si>
    <t>2 02 20077 05 0000 150</t>
  </si>
  <si>
    <t>Текущий ремонт дорожной сети Шуйского муниципального района (Капитальные вложения в объекты государственной (муниципальной) собственности)</t>
  </si>
  <si>
    <t>20270</t>
  </si>
  <si>
    <t>00780</t>
  </si>
  <si>
    <t>00790</t>
  </si>
  <si>
    <t>Основное мероприятие «Оказание имущественной поддержки субъектам малого и среднего предпринимательства»</t>
  </si>
  <si>
    <t>Проведение государственной экспертизы проектной документации, результатов инженерных изысканий, достоверности определения сметной стоимости объекта "Реконструкция автомобильной дороги Введенье-Мизгино-Чернцы на участке Введенье-Мизгино" (Капитальные вложения в объекты государственной (муниципальной) собственности)</t>
  </si>
  <si>
    <t xml:space="preserve">Дополнение перечня муниципального имущества объектами имущества для предоставления субъектам малого и среднего предпринимательства в аренду   (Закупка товаров, работ и услуг для обеспечения государственных (муниципальных) нужд) </t>
  </si>
  <si>
    <t xml:space="preserve">Размещение информации о процедурах предоставления субъектам МСП имущества во владение (пользование) в СМИ и на официальном сайте Администрации Шуйского муниципального района в сети "Интернет"  (Закупка товаров, работ и услуг для обеспечения государственных (муниципальных) нужд) </t>
  </si>
  <si>
    <t>900 1 13 02995 05 0000 130</t>
  </si>
  <si>
    <t>037 2 02 40014 05 0000 150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</si>
  <si>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</si>
  <si>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</si>
  <si>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Осуществление деятельности по организации электро-, теплоснабжения на территории Шуйского муниципального района (Капитальные вложения в объекты государственной (муниципальной) собственности)</t>
  </si>
  <si>
    <t>Доходы бюджета Шуйского муниципального района по кодам классификации доходов на 2020 год и на плановый период 2021 и 2022 годов</t>
  </si>
  <si>
    <t>Нормативы распределения доходов между бюджетом Шуйского муниципального района и бюджетами поселений Шуйского муниципального района 2020 год и на плановый период 2021 и 2022 годов</t>
  </si>
  <si>
    <t>Перечень и коды главных администраторов доходов бюджета Шуйского муниципального района на 2020 год и на плановый период 2021 и 2022 годов</t>
  </si>
  <si>
    <t>Источники внутреннего финансирования дефицита бюджета Шуйского муниципального района на 2020 год и на плановый период 2021 и 2022 годов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</si>
  <si>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2020 год и на плановый период 2021 и 2022 годов по кодам классификации источников финансирования дефицита бюджета</t>
  </si>
  <si>
    <t>2022 год 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</si>
  <si>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2020 год</t>
  </si>
  <si>
    <t>2020 год,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</si>
  <si>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2021 и 2022 годы</t>
  </si>
  <si>
    <t>(в ред. Решения Совета Шуйского муниципального района от _______________ №____)</t>
  </si>
  <si>
    <t>000 1 16 01000 01 0000 140</t>
  </si>
  <si>
    <t>Административные штрафы, установленные Кодекcом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</si>
  <si>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</si>
  <si>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</si>
  <si>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</si>
  <si>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</si>
  <si>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</si>
  <si>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</si>
  <si>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</si>
  <si>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</si>
  <si>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</si>
  <si>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</si>
  <si>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</si>
  <si>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</si>
  <si>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000 1 16 01120 01 0000 140</t>
  </si>
  <si>
    <t>000 1 16 01123 01 0000 140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</si>
  <si>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</si>
  <si>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</si>
  <si>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000 1 16 01200 01 0000 140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</si>
  <si>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</si>
  <si>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</si>
  <si>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</si>
  <si>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</si>
  <si>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</si>
  <si>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</si>
  <si>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</si>
  <si>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 xml:space="preserve">Ведомственная структура расходов бюджета Шуйского муниципального района на 2020 год </t>
  </si>
  <si>
    <t>Ведомственная структура расходов бюджета Шуйского муниципального района на 2021 и 2022 годы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</si>
  <si>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</si>
  <si>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</si>
  <si>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колодцев, расположенных на территории населенных пунктов сельских поселений Шуйского муниципального района на 2020 год и на плановый период 2021 и 2022 годов</t>
  </si>
  <si>
    <t>Программа муниципальных внутренних заимствований  Шуйского муниципального района на 2020 год и плановый период 2021 и 2022 годов</t>
  </si>
  <si>
    <t>Программа муниципальных гарантий Шуйского муниципального района в валюте Российской Федерации на 2020 год и на плановый период 2021 и 2022 годов</t>
  </si>
  <si>
    <t>1.1. Перечень подлежащих предоставлению муниципальных гарантий Шуйского муниципального района в 2020-2022 годах</t>
  </si>
  <si>
    <t>Предоставление гарантий в 2020, 2021, 2022 годах не предусмотрено</t>
  </si>
  <si>
    <t xml:space="preserve">1.2. Общий объем бюджетных ассигнований, предусмотренных на исполнение муниципальных гарантий Шуйского муниципального района по возможным гарантийным случаям, в 2020 году и на плановый период 2021 и 2022 годов, а также на исполнение гарантий по возможным гарантийным случаям, которые возникнут в будущем          </t>
  </si>
  <si>
    <t>2025 год</t>
  </si>
  <si>
    <t>Проект программы муниципальных внутренних заимствований  на 2020 год  и на плановый период 2021 и 2022 годов Шуйского муниципального района</t>
  </si>
  <si>
    <t>Сведения о верхнем пределе муниципального внутреннего долга Шуйского муниципального района на 01.01.2023 года</t>
  </si>
  <si>
    <t xml:space="preserve">Верхний предел муниципального внутреннего долга Шуйского муниципального района по состоянию на 01.01.2023 года - 00,00 рублей, в т.ч. по муниципальным гарантиям - 00,00 рублей. </t>
  </si>
  <si>
    <t>Увеличение долга в 2022 году</t>
  </si>
  <si>
    <t>Погашение долга в 2022 году</t>
  </si>
  <si>
    <t>Долг на 01.01.2023 г.</t>
  </si>
  <si>
    <t>ДОХОДЫ</t>
  </si>
  <si>
    <t>налог и неналог</t>
  </si>
  <si>
    <t>дотация</t>
  </si>
  <si>
    <t>всего местные</t>
  </si>
  <si>
    <t>дотация на  сбалансиров</t>
  </si>
  <si>
    <t>Межбюд трансф Колобово</t>
  </si>
  <si>
    <t>зарплата</t>
  </si>
  <si>
    <t xml:space="preserve">Информационное обеспечение мероприятий, связанных с вопросами по улучшению условий и охраны труда в Администрации Шуйского муниципального района (Закупка товаров, работ и услуг для обеспечения государственных (муниципальных) нужд) </t>
  </si>
  <si>
    <t>00810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</si>
  <si>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осуществление части полномочий по организации теплоснабжения в границах Колобовского городского поселения в пределах полномочий, установленных законодательством Российской Федерации (Иные межбюджетные ассигнования)</t>
  </si>
  <si>
    <t>Свободные к распределению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</si>
  <si>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</si>
  <si>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00820</t>
  </si>
  <si>
    <t>00830</t>
  </si>
  <si>
    <t>00840</t>
  </si>
  <si>
    <t>00850</t>
  </si>
  <si>
    <t>07 1 02 00000</t>
  </si>
  <si>
    <t>07 1 02 00860</t>
  </si>
  <si>
    <t>00860</t>
  </si>
  <si>
    <t>00870</t>
  </si>
  <si>
    <t>Подпрограмма «Развитие туризма в Шуйском муниципальном районе»</t>
  </si>
  <si>
    <t>07 3 00 00000</t>
  </si>
  <si>
    <t>07 3 01 00000</t>
  </si>
  <si>
    <t xml:space="preserve">Развитие туризма в Шуйском муниципальном районе (Закупка товаров, работ и услуг для обеспечения государственных (муниципальных) нужд) </t>
  </si>
  <si>
    <t>07 3 01 00870</t>
  </si>
  <si>
    <t>Резервный фонд</t>
  </si>
  <si>
    <t>0111</t>
  </si>
  <si>
    <t>Резервный фонд администрации Шуйского муниципального района (Иные бюджетные ассигнования)</t>
  </si>
  <si>
    <t>02 2 02 00850</t>
  </si>
  <si>
    <t>30 9 00 00810</t>
  </si>
  <si>
    <t>10 4 01 00840</t>
  </si>
  <si>
    <t>Основное мероприятие «Организация и проведение культурно-массовых мероприятий»</t>
  </si>
  <si>
    <t>10030</t>
  </si>
  <si>
    <t xml:space="preserve">Изготовление наглядной агитации в области антитеррористической и антинаркотической пропаганды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</si>
  <si>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</si>
  <si>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ИТОГО:</t>
  </si>
  <si>
    <t>10 1 01 80110</t>
  </si>
  <si>
    <t>03 3 00 00000</t>
  </si>
  <si>
    <t>03 3 01 00000</t>
  </si>
  <si>
    <t>03 3 01 00610</t>
  </si>
  <si>
    <t>03 3 01 00620</t>
  </si>
  <si>
    <t>05 1 01 00370</t>
  </si>
  <si>
    <t>05 1 01 00060</t>
  </si>
  <si>
    <t>05 1 01 00120</t>
  </si>
  <si>
    <t>05 1 01 00510</t>
  </si>
  <si>
    <t>05 1 01 00520</t>
  </si>
  <si>
    <t>05 1 02 00000</t>
  </si>
  <si>
    <t>05 1 02 00530</t>
  </si>
  <si>
    <t>05 1 02 00560</t>
  </si>
  <si>
    <t>05 1 02 00550</t>
  </si>
  <si>
    <t>05 1 03 00000</t>
  </si>
  <si>
    <t>05 1 03 00580</t>
  </si>
  <si>
    <t>05 1 03 00830</t>
  </si>
  <si>
    <t>05 1 03 00820</t>
  </si>
  <si>
    <t>05 1 03 00590</t>
  </si>
  <si>
    <t>06 1 01 S3160</t>
  </si>
  <si>
    <t>06 1 01 83160</t>
  </si>
  <si>
    <t>05</t>
  </si>
  <si>
    <t>Основное мероприятие «Продвижение  туристического продукта»</t>
  </si>
  <si>
    <t>10 3 01 00840</t>
  </si>
  <si>
    <t>Муниципальная программа «Развитие культуры и туризма в Шуйском муниципальном районе»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</si>
  <si>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</si>
  <si>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</si>
  <si>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05 1 01 00890</t>
  </si>
  <si>
    <t>00890</t>
  </si>
  <si>
    <t xml:space="preserve">Организация обучения по охране труда работников в  администрации Шуйского муниципального района (Закупка товаров, работ и услуг для обеспечения государственных (муниципальных) нужд) </t>
  </si>
  <si>
    <t>05 1 02 00900</t>
  </si>
  <si>
    <t>00900</t>
  </si>
  <si>
    <t>08 2 01 60720</t>
  </si>
  <si>
    <t>60720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</si>
  <si>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</si>
  <si>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</si>
  <si>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30 9 00 20280</t>
  </si>
  <si>
    <t>20280</t>
  </si>
  <si>
    <t>04 2 00 00000</t>
  </si>
  <si>
    <t>04 2 01 00000</t>
  </si>
  <si>
    <t xml:space="preserve">Подпрограмма «Имущественная поддержка субъектов малого и среднего предпринимательства» </t>
  </si>
  <si>
    <t>Подпрограмма «Эффективное управление муниципальным имуществом Шуйского муниципального района»</t>
  </si>
  <si>
    <t>Подпрограмма «Эффективное управление земельными ресурсами Шуйского муниципального района»</t>
  </si>
  <si>
    <t>01 2 01 0000</t>
  </si>
  <si>
    <t>01 2 00 0000</t>
  </si>
  <si>
    <t>01 2 01 20020</t>
  </si>
  <si>
    <t>04 2 01 00780</t>
  </si>
  <si>
    <t>04 2 01 00790</t>
  </si>
  <si>
    <t xml:space="preserve">Организация и проведение мероприятия «День предпринимателя» (Закупка товаров, работ и услуг для обеспечения государственных (муниципальных) нужд)  </t>
  </si>
  <si>
    <t>Предоставление субсидий из бюджета Шуйского муниципального района  юридическим лицам и индивидуальным предпринимателям на возмещение стоимости горюче-смазочных материалов при доставке автомобильным транспортом социально значимых товаров в отдельные, труднодоступные и малонаселенные пункты Шуйского муниципального района, а также населенные пункты, в которых отсутствуют торговые объекты (Иные бюджетные ассигнования)</t>
  </si>
  <si>
    <t>Подпрограмма «Сохранение и развитие культурного потенциала Шуйского муниципального района»</t>
  </si>
  <si>
    <t>000 1 08 03010 01 0000 110</t>
  </si>
  <si>
    <t>1 16 01053 01 0000 140</t>
  </si>
  <si>
    <t>1 16 01063 01 0000 140</t>
  </si>
  <si>
    <t>1 16 01073 01 0000 140</t>
  </si>
  <si>
    <t>1 16 01203 01 0000 140</t>
  </si>
  <si>
    <t>1 16 01123 01 0000 140</t>
  </si>
  <si>
    <t xml:space="preserve">Организация обучения по охране труда работников в  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</si>
  <si>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05 1 02 00920</t>
  </si>
  <si>
    <t>00920</t>
  </si>
  <si>
    <t>11 1 01 60160</t>
  </si>
  <si>
    <t>11 1 01 00390</t>
  </si>
  <si>
    <t>11 1 01 S0190</t>
  </si>
  <si>
    <t>11 1 01 80200</t>
  </si>
  <si>
    <t>11 1 02 00000</t>
  </si>
  <si>
    <t>11 1 02 00220</t>
  </si>
  <si>
    <t>11 1 02 20090</t>
  </si>
  <si>
    <t>11 1 02 00660</t>
  </si>
  <si>
    <t>11 1 02 80350</t>
  </si>
  <si>
    <t>11 1 02 80360</t>
  </si>
  <si>
    <t>11 1 03 00000</t>
  </si>
  <si>
    <t>11 1 03 20210</t>
  </si>
  <si>
    <t>11 1 03 20260</t>
  </si>
  <si>
    <t>11 2 00 00000</t>
  </si>
  <si>
    <t>11 2 01 00000</t>
  </si>
  <si>
    <t>11 2 01 20160</t>
  </si>
  <si>
    <t>11 2 02 00000</t>
  </si>
  <si>
    <t>11 2 02 00360</t>
  </si>
  <si>
    <t>11 2 02 00600</t>
  </si>
  <si>
    <t>11 2 02 00490</t>
  </si>
  <si>
    <t>11 3 00 00000</t>
  </si>
  <si>
    <t>11 3 01 00000</t>
  </si>
  <si>
    <t>11 3 01 00670</t>
  </si>
  <si>
    <t>023 1 16 01053 01 0000 140</t>
  </si>
  <si>
    <t>023 1 16 01063 01 0000 140</t>
  </si>
  <si>
    <t>023 1 16 01073 01 0000 140</t>
  </si>
  <si>
    <t>023 1 16 01123 01 0000 140</t>
  </si>
  <si>
    <t>023 1 16 01203 01 0000 140</t>
  </si>
  <si>
    <t>Департамент социальной защиты населения Ивановской области</t>
  </si>
  <si>
    <t>023</t>
  </si>
  <si>
    <t>Межрегиональное управление Федеральной службы по надзору в сфере природопользования по Владимирской и Ивановской областям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</si>
  <si>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</si>
  <si>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</si>
  <si>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Подпрограмма «Повышение уровня безопасности дорожного движения в Шуйском муниципальном районе»</t>
  </si>
  <si>
    <t>Организация мероприятий молодежной политики (Предоставление субсидий бюджетным, автономным учреждениям и иным некоммерческим организациям)</t>
  </si>
  <si>
    <t xml:space="preserve">Организация и проведение культурно-массовых мероприятий (Предоставление субсидий бюджетным, автономным учреждениям и иным некоммерческим организациям) </t>
  </si>
  <si>
    <t xml:space="preserve">Организация и проведение культурно-массовых мероприятий  (Предоставление субсидий бюджетным, автономным учреждениям и иным некоммерческим организациям) </t>
  </si>
  <si>
    <r>
      <t>от 12.12.2019 № 78</t>
    </r>
    <r>
      <rPr>
        <u val="single"/>
        <sz val="12"/>
        <rFont val="Times New Roman"/>
        <family val="1"/>
      </rPr>
      <t xml:space="preserve">      </t>
    </r>
  </si>
  <si>
    <t>от 12.12.2019 № 78</t>
  </si>
  <si>
    <t xml:space="preserve">                                            от 12.12.2019 № 78       </t>
  </si>
  <si>
    <t>(в ред. Решения Совета Шуйского муниципального района от _____________.2020 №___)</t>
  </si>
  <si>
    <t>(в ред. Решения Совета Шуйского муниципального района от ___________2020 № ___)</t>
  </si>
  <si>
    <r>
      <t>от 12.12.2019 № 78</t>
    </r>
    <r>
      <rPr>
        <u val="single"/>
        <sz val="12"/>
        <rFont val="Times New Roman"/>
        <family val="1"/>
      </rPr>
      <t xml:space="preserve">   </t>
    </r>
  </si>
  <si>
    <t>(в ред. Решения Совета Шуйского муниципального района от _______.2020 №_____ )</t>
  </si>
  <si>
    <t>(в ред. Решения Совета Шуйского муниципального района от __________.2020 № ____)</t>
  </si>
  <si>
    <r>
      <t>от 12.12.2019 № 78</t>
    </r>
    <r>
      <rPr>
        <u val="single"/>
        <sz val="12"/>
        <rFont val="Times New Roman"/>
        <family val="1"/>
      </rPr>
      <t xml:space="preserve">  </t>
    </r>
  </si>
  <si>
    <t>БЫЛО</t>
  </si>
  <si>
    <t>Субсидии бюджетам муниципальных районов,
городских округов Ивановской области на создание
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
организациях, расположенных в сельской местности
и малых городах</t>
  </si>
  <si>
    <t>Субсидии бюджетам муниципальных образований
Ивановской области на развитие транспортной инфраструктуры на сельских территориях (строительство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
расположенных на сельских территориях, объектам
производства и переработки продукции)</t>
  </si>
  <si>
    <t>Субсидии бюджетам муниципальных районов
и городских округов Ивановской области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</t>
  </si>
  <si>
    <t>037 2 02 25169 05 0000 150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</si>
  <si>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</si>
  <si>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000 2 02 25169 00 0000 150</t>
  </si>
  <si>
    <t>000 2 02 25169 05 0000 150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</si>
  <si>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</si>
  <si>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</si>
  <si>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000 2 02 27372 00 0000 150</t>
  </si>
  <si>
    <t>Субсидии бюджетам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</si>
  <si>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</si>
  <si>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000 2 02 27372 05 0000 150</t>
  </si>
  <si>
    <t>037 2 02 27372 05 0000 150</t>
  </si>
  <si>
    <t>Реконструкция и строительство автомобильных дорог (Капитальные вложения в объекты государственной (муниципальной) собственности)</t>
  </si>
  <si>
    <t>06 1 01 L3721</t>
  </si>
  <si>
    <t>32 9 00 60490</t>
  </si>
  <si>
    <t>10 2 E1 51690</t>
  </si>
  <si>
    <t xml:space="preserve">Cоздание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</si>
  <si>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10 2 01 S0080</t>
  </si>
  <si>
    <t>L3721</t>
  </si>
  <si>
    <t>S0080</t>
  </si>
  <si>
    <t>Е1</t>
  </si>
  <si>
    <t>51690</t>
  </si>
  <si>
    <t>60490</t>
  </si>
  <si>
    <t>было</t>
  </si>
  <si>
    <t>Распределение субвенций, предоставляемых из бюджета Шуйского муниципального района бюджетам поселений на 2020 год и на плановый период 2021 и 2022 годов</t>
  </si>
  <si>
    <t>60500</t>
  </si>
  <si>
    <t>00930</t>
  </si>
  <si>
    <t xml:space="preserve">Внедрение в казенных общеобразовательных учреждениях целевой модели цифровой образовательной среды (Закупка товаров, работ и услуг для обеспечения государственных (муниципальных) нужд) </t>
  </si>
  <si>
    <t>10 2 01 00930</t>
  </si>
  <si>
    <t>10 2 01 60500</t>
  </si>
  <si>
    <t>Субсидия бюджетным учреждениям на внедрение в общеобразовательных учреждениях целевой модели цифровой образовательной среды (Предоставление субсидий бюджетным, автономным учреждениям и иным некоммерческим организациям)</t>
  </si>
  <si>
    <t xml:space="preserve">Субсидия бюджетным учреждениям общего образования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</si>
  <si>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 xml:space="preserve">Организация питания обучающихся 1 - 4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</si>
  <si>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Организация питания обучающихся 1 - 4 классов муниципальных общеобразовательных организаций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</si>
</sst>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_р_."/>
    <numFmt numFmtId="181" formatCode="0.0"/>
    <numFmt numFmtId="182" formatCode="0.000"/>
    <numFmt numFmtId="183" formatCode="000000"/>
    <numFmt numFmtId="184" formatCode="_-* #,##0.0_р_._-;\-* #,##0.0_р_._-;_-* &quot;-&quot;??_р_._-;_-@_-"/>
  </numFmts>
  <fonts count="69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Helv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DD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0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12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12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wrapText="1"/>
    </xf>
    <xf numFmtId="0" fontId="8" fillId="0" borderId="12" xfId="53" applyFont="1" applyBorder="1" applyAlignment="1">
      <alignment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left" vertical="top" wrapText="1"/>
      <protection/>
    </xf>
    <xf numFmtId="0" fontId="6" fillId="33" borderId="13" xfId="54" applyFont="1" applyFill="1" applyBorder="1" applyAlignment="1">
      <alignment horizontal="center" vertical="top" wrapText="1"/>
      <protection/>
    </xf>
    <xf numFmtId="49" fontId="6" fillId="33" borderId="13" xfId="54" applyNumberFormat="1" applyFont="1" applyFill="1" applyBorder="1" applyAlignment="1">
      <alignment horizontal="center" vertical="top" wrapText="1"/>
      <protection/>
    </xf>
    <xf numFmtId="4" fontId="8" fillId="0" borderId="13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1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0" fontId="8" fillId="0" borderId="15" xfId="0" applyFont="1" applyFill="1" applyBorder="1" applyAlignment="1">
      <alignment/>
    </xf>
    <xf numFmtId="180" fontId="8" fillId="0" borderId="12" xfId="0" applyNumberFormat="1" applyFont="1" applyBorder="1" applyAlignment="1">
      <alignment/>
    </xf>
    <xf numFmtId="0" fontId="9" fillId="0" borderId="14" xfId="0" applyFont="1" applyBorder="1" applyAlignment="1">
      <alignment horizontal="justify" wrapText="1"/>
    </xf>
    <xf numFmtId="0" fontId="9" fillId="0" borderId="14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wrapText="1"/>
    </xf>
    <xf numFmtId="0" fontId="17" fillId="33" borderId="14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17" xfId="0" applyFont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3" xfId="54" applyFont="1" applyBorder="1" applyAlignment="1">
      <alignment horizontal="center" vertical="center" wrapText="1"/>
      <protection/>
    </xf>
    <xf numFmtId="49" fontId="8" fillId="0" borderId="13" xfId="54" applyNumberFormat="1" applyFont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49" fontId="8" fillId="0" borderId="13" xfId="54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wrapText="1"/>
    </xf>
    <xf numFmtId="2" fontId="6" fillId="33" borderId="13" xfId="0" applyNumberFormat="1" applyFont="1" applyFill="1" applyBorder="1" applyAlignment="1">
      <alignment horizontal="right"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22" fillId="0" borderId="0" xfId="0" applyFont="1" applyAlignment="1">
      <alignment/>
    </xf>
    <xf numFmtId="0" fontId="8" fillId="0" borderId="11" xfId="0" applyFont="1" applyBorder="1" applyAlignment="1">
      <alignment horizontal="justify" vertical="top" wrapText="1"/>
    </xf>
    <xf numFmtId="0" fontId="8" fillId="0" borderId="12" xfId="53" applyFont="1" applyFill="1" applyBorder="1" applyAlignment="1">
      <alignment horizontal="center" vertical="center" wrapText="1"/>
      <protection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vertical="center"/>
    </xf>
    <xf numFmtId="2" fontId="6" fillId="33" borderId="13" xfId="54" applyNumberFormat="1" applyFont="1" applyFill="1" applyBorder="1" applyAlignment="1">
      <alignment horizontal="right" vertical="top" wrapText="1"/>
      <protection/>
    </xf>
    <xf numFmtId="2" fontId="8" fillId="0" borderId="13" xfId="54" applyNumberFormat="1" applyFont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top" wrapText="1"/>
      <protection/>
    </xf>
    <xf numFmtId="4" fontId="1" fillId="33" borderId="19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4" fontId="6" fillId="33" borderId="13" xfId="54" applyNumberFormat="1" applyFont="1" applyFill="1" applyBorder="1" applyAlignment="1">
      <alignment horizontal="right" vertical="top" wrapText="1"/>
      <protection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13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top" wrapText="1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9" fontId="12" fillId="0" borderId="21" xfId="0" applyNumberFormat="1" applyFont="1" applyBorder="1" applyAlignment="1">
      <alignment horizont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/>
    </xf>
    <xf numFmtId="179" fontId="12" fillId="0" borderId="22" xfId="0" applyNumberFormat="1" applyFont="1" applyBorder="1" applyAlignment="1">
      <alignment horizontal="center" wrapText="1"/>
    </xf>
    <xf numFmtId="179" fontId="13" fillId="0" borderId="22" xfId="0" applyNumberFormat="1" applyFont="1" applyBorder="1" applyAlignment="1">
      <alignment horizontal="center" wrapText="1"/>
    </xf>
    <xf numFmtId="179" fontId="12" fillId="0" borderId="12" xfId="0" applyNumberFormat="1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9" fillId="0" borderId="19" xfId="0" applyFont="1" applyBorder="1" applyAlignment="1">
      <alignment horizontal="justify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0" borderId="25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2" fontId="17" fillId="33" borderId="12" xfId="0" applyNumberFormat="1" applyFont="1" applyFill="1" applyBorder="1" applyAlignment="1">
      <alignment horizontal="center" vertical="top" wrapText="1"/>
    </xf>
    <xf numFmtId="49" fontId="8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8" fillId="0" borderId="13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53" applyNumberFormat="1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181" fontId="12" fillId="0" borderId="22" xfId="0" applyNumberFormat="1" applyFont="1" applyBorder="1" applyAlignment="1">
      <alignment horizontal="center" vertical="top" wrapText="1"/>
    </xf>
    <xf numFmtId="49" fontId="8" fillId="35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6" fillId="35" borderId="13" xfId="0" applyNumberFormat="1" applyFont="1" applyFill="1" applyBorder="1" applyAlignment="1">
      <alignment vertical="center"/>
    </xf>
    <xf numFmtId="4" fontId="8" fillId="35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49" fontId="6" fillId="34" borderId="13" xfId="0" applyNumberFormat="1" applyFont="1" applyFill="1" applyBorder="1" applyAlignment="1">
      <alignment horizontal="center" vertical="center" wrapText="1"/>
    </xf>
    <xf numFmtId="2" fontId="8" fillId="34" borderId="13" xfId="0" applyNumberFormat="1" applyFont="1" applyFill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27" xfId="53" applyFont="1" applyBorder="1" applyAlignment="1">
      <alignment horizontal="center" vertical="center" wrapText="1"/>
      <protection/>
    </xf>
    <xf numFmtId="0" fontId="8" fillId="0" borderId="27" xfId="53" applyFont="1" applyBorder="1" applyAlignment="1">
      <alignment wrapText="1"/>
      <protection/>
    </xf>
    <xf numFmtId="2" fontId="6" fillId="34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wrapText="1"/>
    </xf>
    <xf numFmtId="4" fontId="6" fillId="34" borderId="13" xfId="0" applyNumberFormat="1" applyFont="1" applyFill="1" applyBorder="1" applyAlignment="1">
      <alignment horizontal="right" vertical="center" wrapText="1"/>
    </xf>
    <xf numFmtId="4" fontId="8" fillId="0" borderId="13" xfId="54" applyNumberFormat="1" applyFont="1" applyFill="1" applyBorder="1" applyAlignment="1">
      <alignment horizontal="center" vertical="center" wrapText="1"/>
      <protection/>
    </xf>
    <xf numFmtId="4" fontId="6" fillId="34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35" borderId="12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71" fontId="8" fillId="0" borderId="13" xfId="63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8" fillId="35" borderId="13" xfId="0" applyNumberFormat="1" applyFont="1" applyFill="1" applyBorder="1" applyAlignment="1">
      <alignment horizontal="center" vertical="center" wrapText="1"/>
    </xf>
    <xf numFmtId="171" fontId="8" fillId="0" borderId="13" xfId="63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10" fillId="0" borderId="0" xfId="53" applyFont="1" applyBorder="1">
      <alignment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vertical="center" wrapText="1"/>
      <protection/>
    </xf>
    <xf numFmtId="4" fontId="8" fillId="0" borderId="13" xfId="53" applyNumberFormat="1" applyFont="1" applyFill="1" applyBorder="1" applyAlignment="1">
      <alignment horizontal="center" vertical="top" wrapText="1"/>
      <protection/>
    </xf>
    <xf numFmtId="0" fontId="8" fillId="35" borderId="12" xfId="53" applyFont="1" applyFill="1" applyBorder="1" applyAlignment="1">
      <alignment wrapText="1"/>
      <protection/>
    </xf>
    <xf numFmtId="0" fontId="10" fillId="0" borderId="0" xfId="53" applyFont="1" applyFill="1">
      <alignment/>
      <protection/>
    </xf>
    <xf numFmtId="0" fontId="8" fillId="0" borderId="13" xfId="53" applyFont="1" applyBorder="1" applyAlignment="1">
      <alignment wrapText="1"/>
      <protection/>
    </xf>
    <xf numFmtId="0" fontId="8" fillId="0" borderId="12" xfId="0" applyFont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4" fontId="6" fillId="34" borderId="13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0" fontId="8" fillId="33" borderId="28" xfId="0" applyFont="1" applyFill="1" applyBorder="1" applyAlignment="1">
      <alignment vertical="top" wrapText="1"/>
    </xf>
    <xf numFmtId="4" fontId="1" fillId="33" borderId="28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2" fillId="36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wrapText="1"/>
    </xf>
    <xf numFmtId="0" fontId="8" fillId="0" borderId="27" xfId="0" applyFont="1" applyBorder="1" applyAlignment="1">
      <alignment horizontal="center" vertical="top" wrapText="1"/>
    </xf>
    <xf numFmtId="4" fontId="6" fillId="37" borderId="13" xfId="0" applyNumberFormat="1" applyFont="1" applyFill="1" applyBorder="1" applyAlignment="1">
      <alignment horizontal="center" vertical="center" wrapText="1"/>
    </xf>
    <xf numFmtId="0" fontId="6" fillId="19" borderId="13" xfId="0" applyNumberFormat="1" applyFont="1" applyFill="1" applyBorder="1" applyAlignment="1">
      <alignment horizontal="center" vertical="center"/>
    </xf>
    <xf numFmtId="171" fontId="8" fillId="0" borderId="13" xfId="63" applyFont="1" applyBorder="1" applyAlignment="1">
      <alignment horizontal="center" vertical="center"/>
    </xf>
    <xf numFmtId="171" fontId="6" fillId="0" borderId="13" xfId="63" applyFont="1" applyBorder="1" applyAlignment="1">
      <alignment horizontal="center" vertical="center"/>
    </xf>
    <xf numFmtId="0" fontId="8" fillId="38" borderId="29" xfId="0" applyFont="1" applyFill="1" applyBorder="1" applyAlignment="1">
      <alignment vertical="top" wrapText="1"/>
    </xf>
    <xf numFmtId="49" fontId="8" fillId="38" borderId="13" xfId="0" applyNumberFormat="1" applyFont="1" applyFill="1" applyBorder="1" applyAlignment="1">
      <alignment horizontal="center" vertical="center" wrapText="1"/>
    </xf>
    <xf numFmtId="2" fontId="8" fillId="38" borderId="13" xfId="0" applyNumberFormat="1" applyFont="1" applyFill="1" applyBorder="1" applyAlignment="1">
      <alignment horizontal="center" vertical="center" wrapText="1"/>
    </xf>
    <xf numFmtId="171" fontId="8" fillId="38" borderId="13" xfId="63" applyFont="1" applyFill="1" applyBorder="1" applyAlignment="1">
      <alignment horizontal="center" vertical="center" wrapText="1"/>
    </xf>
    <xf numFmtId="4" fontId="8" fillId="38" borderId="13" xfId="0" applyNumberFormat="1" applyFont="1" applyFill="1" applyBorder="1" applyAlignment="1">
      <alignment horizontal="center" vertical="center" wrapText="1"/>
    </xf>
    <xf numFmtId="171" fontId="0" fillId="0" borderId="0" xfId="63" applyFont="1" applyAlignment="1">
      <alignment horizontal="center" vertical="center"/>
    </xf>
    <xf numFmtId="171" fontId="0" fillId="0" borderId="13" xfId="63" applyFont="1" applyBorder="1" applyAlignment="1">
      <alignment horizontal="center" vertical="center"/>
    </xf>
    <xf numFmtId="171" fontId="0" fillId="19" borderId="13" xfId="63" applyFont="1" applyFill="1" applyBorder="1" applyAlignment="1">
      <alignment horizontal="center" vertical="center"/>
    </xf>
    <xf numFmtId="171" fontId="0" fillId="10" borderId="13" xfId="63" applyFont="1" applyFill="1" applyBorder="1" applyAlignment="1">
      <alignment horizontal="center" vertical="center"/>
    </xf>
    <xf numFmtId="171" fontId="8" fillId="0" borderId="13" xfId="63" applyFont="1" applyFill="1" applyBorder="1" applyAlignment="1">
      <alignment horizontal="center" vertical="center"/>
    </xf>
    <xf numFmtId="4" fontId="8" fillId="35" borderId="0" xfId="0" applyNumberFormat="1" applyFont="1" applyFill="1" applyBorder="1" applyAlignment="1">
      <alignment horizontal="center" vertical="center" wrapText="1"/>
    </xf>
    <xf numFmtId="4" fontId="6" fillId="37" borderId="13" xfId="0" applyNumberFormat="1" applyFont="1" applyFill="1" applyBorder="1" applyAlignment="1">
      <alignment horizontal="right" vertical="center" wrapText="1"/>
    </xf>
    <xf numFmtId="171" fontId="0" fillId="12" borderId="13" xfId="63" applyFont="1" applyFill="1" applyBorder="1" applyAlignment="1">
      <alignment horizontal="center" vertical="center"/>
    </xf>
    <xf numFmtId="171" fontId="0" fillId="3" borderId="0" xfId="63" applyFont="1" applyFill="1" applyAlignment="1">
      <alignment horizontal="right" vertical="center" wrapText="1"/>
    </xf>
    <xf numFmtId="171" fontId="0" fillId="3" borderId="0" xfId="0" applyNumberFormat="1" applyFont="1" applyFill="1" applyAlignment="1">
      <alignment horizontal="right"/>
    </xf>
    <xf numFmtId="171" fontId="0" fillId="3" borderId="13" xfId="63" applyFont="1" applyFill="1" applyBorder="1" applyAlignment="1">
      <alignment horizontal="center" vertical="center"/>
    </xf>
    <xf numFmtId="171" fontId="0" fillId="9" borderId="13" xfId="63" applyFont="1" applyFill="1" applyBorder="1" applyAlignment="1">
      <alignment horizontal="center" vertical="center"/>
    </xf>
    <xf numFmtId="2" fontId="8" fillId="35" borderId="13" xfId="54" applyNumberFormat="1" applyFont="1" applyFill="1" applyBorder="1" applyAlignment="1">
      <alignment horizontal="center" vertical="center" wrapText="1"/>
      <protection/>
    </xf>
    <xf numFmtId="171" fontId="0" fillId="35" borderId="13" xfId="63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8" fillId="34" borderId="13" xfId="53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vertical="top" wrapText="1"/>
    </xf>
    <xf numFmtId="0" fontId="6" fillId="33" borderId="13" xfId="53" applyFont="1" applyFill="1" applyBorder="1" applyAlignment="1">
      <alignment vertical="top" wrapText="1"/>
      <protection/>
    </xf>
    <xf numFmtId="0" fontId="8" fillId="0" borderId="13" xfId="53" applyFont="1" applyBorder="1" applyAlignment="1">
      <alignment vertical="top" wrapText="1"/>
      <protection/>
    </xf>
    <xf numFmtId="0" fontId="8" fillId="35" borderId="13" xfId="0" applyFont="1" applyFill="1" applyBorder="1" applyAlignment="1">
      <alignment vertical="top" wrapText="1"/>
    </xf>
    <xf numFmtId="4" fontId="6" fillId="35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wrapText="1"/>
    </xf>
    <xf numFmtId="2" fontId="8" fillId="0" borderId="13" xfId="0" applyNumberFormat="1" applyFont="1" applyBorder="1" applyAlignment="1">
      <alignment wrapText="1"/>
    </xf>
    <xf numFmtId="4" fontId="8" fillId="0" borderId="13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/>
    </xf>
    <xf numFmtId="49" fontId="6" fillId="37" borderId="13" xfId="0" applyNumberFormat="1" applyFont="1" applyFill="1" applyBorder="1" applyAlignment="1">
      <alignment horizontal="left" vertical="center" wrapText="1"/>
    </xf>
    <xf numFmtId="49" fontId="6" fillId="37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4" fontId="8" fillId="35" borderId="13" xfId="0" applyNumberFormat="1" applyFont="1" applyFill="1" applyBorder="1" applyAlignment="1">
      <alignment horizontal="center" vertical="center"/>
    </xf>
    <xf numFmtId="0" fontId="6" fillId="33" borderId="13" xfId="54" applyFont="1" applyFill="1" applyBorder="1" applyAlignment="1">
      <alignment vertical="top" wrapText="1"/>
      <protection/>
    </xf>
    <xf numFmtId="4" fontId="8" fillId="35" borderId="13" xfId="0" applyNumberFormat="1" applyFont="1" applyFill="1" applyBorder="1" applyAlignment="1">
      <alignment horizontal="right" vertical="center"/>
    </xf>
    <xf numFmtId="4" fontId="8" fillId="0" borderId="13" xfId="54" applyNumberFormat="1" applyFont="1" applyFill="1" applyBorder="1" applyAlignment="1">
      <alignment horizontal="right" vertical="center" wrapText="1"/>
      <protection/>
    </xf>
    <xf numFmtId="4" fontId="8" fillId="0" borderId="13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left" vertical="center" wrapText="1"/>
    </xf>
    <xf numFmtId="49" fontId="21" fillId="33" borderId="13" xfId="0" applyNumberFormat="1" applyFont="1" applyFill="1" applyBorder="1" applyAlignment="1">
      <alignment horizontal="left" vertical="center" wrapText="1"/>
    </xf>
    <xf numFmtId="11" fontId="6" fillId="33" borderId="13" xfId="0" applyNumberFormat="1" applyFont="1" applyFill="1" applyBorder="1" applyAlignment="1">
      <alignment horizontal="left" vertical="center" wrapText="1"/>
    </xf>
    <xf numFmtId="49" fontId="11" fillId="33" borderId="13" xfId="0" applyNumberFormat="1" applyFont="1" applyFill="1" applyBorder="1" applyAlignment="1">
      <alignment horizontal="left" vertical="center" wrapText="1"/>
    </xf>
    <xf numFmtId="171" fontId="8" fillId="35" borderId="13" xfId="63" applyFont="1" applyFill="1" applyBorder="1" applyAlignment="1">
      <alignment horizontal="center" vertical="center" wrapText="1"/>
    </xf>
    <xf numFmtId="0" fontId="8" fillId="35" borderId="13" xfId="54" applyFont="1" applyFill="1" applyBorder="1" applyAlignment="1">
      <alignment horizontal="center" vertical="center" wrapText="1"/>
      <protection/>
    </xf>
    <xf numFmtId="49" fontId="8" fillId="35" borderId="13" xfId="54" applyNumberFormat="1" applyFont="1" applyFill="1" applyBorder="1" applyAlignment="1">
      <alignment horizontal="center" vertical="center" wrapText="1"/>
      <protection/>
    </xf>
    <xf numFmtId="0" fontId="8" fillId="35" borderId="13" xfId="53" applyFont="1" applyFill="1" applyBorder="1" applyAlignment="1">
      <alignment vertical="top" wrapText="1"/>
      <protection/>
    </xf>
    <xf numFmtId="0" fontId="8" fillId="35" borderId="13" xfId="0" applyNumberFormat="1" applyFont="1" applyFill="1" applyBorder="1" applyAlignment="1">
      <alignment horizontal="left" vertical="center" wrapText="1"/>
    </xf>
    <xf numFmtId="4" fontId="8" fillId="35" borderId="13" xfId="54" applyNumberFormat="1" applyFont="1" applyFill="1" applyBorder="1" applyAlignment="1">
      <alignment horizontal="center" vertical="center" wrapText="1"/>
      <protection/>
    </xf>
    <xf numFmtId="4" fontId="6" fillId="33" borderId="13" xfId="54" applyNumberFormat="1" applyFont="1" applyFill="1" applyBorder="1" applyAlignment="1">
      <alignment horizontal="center" vertical="top" wrapText="1"/>
      <protection/>
    </xf>
    <xf numFmtId="4" fontId="8" fillId="35" borderId="13" xfId="0" applyNumberFormat="1" applyFont="1" applyFill="1" applyBorder="1" applyAlignment="1">
      <alignment horizontal="right" vertical="center" wrapText="1"/>
    </xf>
    <xf numFmtId="2" fontId="8" fillId="35" borderId="13" xfId="0" applyNumberFormat="1" applyFont="1" applyFill="1" applyBorder="1" applyAlignment="1">
      <alignment vertical="center"/>
    </xf>
    <xf numFmtId="4" fontId="6" fillId="35" borderId="13" xfId="0" applyNumberFormat="1" applyFont="1" applyFill="1" applyBorder="1" applyAlignment="1">
      <alignment horizontal="right" vertical="center" wrapText="1"/>
    </xf>
    <xf numFmtId="171" fontId="8" fillId="35" borderId="13" xfId="63" applyFont="1" applyFill="1" applyBorder="1" applyAlignment="1">
      <alignment horizontal="center" vertical="center"/>
    </xf>
    <xf numFmtId="2" fontId="6" fillId="35" borderId="13" xfId="0" applyNumberFormat="1" applyFont="1" applyFill="1" applyBorder="1" applyAlignment="1">
      <alignment horizontal="right" vertical="center" wrapText="1"/>
    </xf>
    <xf numFmtId="2" fontId="8" fillId="35" borderId="13" xfId="63" applyNumberFormat="1" applyFont="1" applyFill="1" applyBorder="1" applyAlignment="1">
      <alignment horizontal="center" vertical="center"/>
    </xf>
    <xf numFmtId="2" fontId="8" fillId="35" borderId="13" xfId="54" applyNumberFormat="1" applyFont="1" applyFill="1" applyBorder="1" applyAlignment="1">
      <alignment horizontal="center" vertical="top" wrapText="1"/>
      <protection/>
    </xf>
    <xf numFmtId="4" fontId="11" fillId="33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Fill="1" applyBorder="1" applyAlignment="1">
      <alignment vertical="center" wrapText="1"/>
    </xf>
    <xf numFmtId="171" fontId="0" fillId="35" borderId="13" xfId="0" applyNumberFormat="1" applyFont="1" applyFill="1" applyBorder="1" applyAlignment="1">
      <alignment horizontal="center" vertical="center"/>
    </xf>
    <xf numFmtId="49" fontId="8" fillId="35" borderId="13" xfId="0" applyNumberFormat="1" applyFont="1" applyFill="1" applyBorder="1" applyAlignment="1">
      <alignment horizontal="left" vertical="center" wrapText="1"/>
    </xf>
    <xf numFmtId="0" fontId="8" fillId="0" borderId="13" xfId="53" applyFont="1" applyFill="1" applyBorder="1" applyAlignment="1">
      <alignment vertical="top" wrapText="1"/>
      <protection/>
    </xf>
    <xf numFmtId="0" fontId="8" fillId="35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35" borderId="13" xfId="0" applyFont="1" applyFill="1" applyBorder="1" applyAlignment="1">
      <alignment/>
    </xf>
    <xf numFmtId="171" fontId="10" fillId="0" borderId="0" xfId="63" applyFont="1" applyAlignment="1">
      <alignment/>
    </xf>
    <xf numFmtId="0" fontId="8" fillId="0" borderId="29" xfId="0" applyFont="1" applyBorder="1" applyAlignment="1">
      <alignment wrapText="1"/>
    </xf>
    <xf numFmtId="2" fontId="8" fillId="35" borderId="13" xfId="0" applyNumberFormat="1" applyFont="1" applyFill="1" applyBorder="1" applyAlignment="1">
      <alignment horizontal="right" vertical="center" wrapText="1"/>
    </xf>
    <xf numFmtId="2" fontId="8" fillId="35" borderId="13" xfId="0" applyNumberFormat="1" applyFont="1" applyFill="1" applyBorder="1" applyAlignment="1">
      <alignment wrapText="1"/>
    </xf>
    <xf numFmtId="4" fontId="8" fillId="35" borderId="13" xfId="0" applyNumberFormat="1" applyFont="1" applyFill="1" applyBorder="1" applyAlignment="1">
      <alignment wrapText="1"/>
    </xf>
    <xf numFmtId="2" fontId="6" fillId="35" borderId="13" xfId="0" applyNumberFormat="1" applyFont="1" applyFill="1" applyBorder="1" applyAlignment="1">
      <alignment horizontal="center" vertical="center" wrapText="1"/>
    </xf>
    <xf numFmtId="4" fontId="8" fillId="35" borderId="13" xfId="54" applyNumberFormat="1" applyFont="1" applyFill="1" applyBorder="1" applyAlignment="1">
      <alignment horizontal="right" vertical="top" wrapText="1"/>
      <protection/>
    </xf>
    <xf numFmtId="0" fontId="0" fillId="0" borderId="0" xfId="0" applyNumberFormat="1" applyFont="1" applyAlignment="1">
      <alignment/>
    </xf>
    <xf numFmtId="171" fontId="6" fillId="34" borderId="13" xfId="63" applyFont="1" applyFill="1" applyBorder="1" applyAlignment="1">
      <alignment horizontal="right" vertical="center" wrapText="1"/>
    </xf>
    <xf numFmtId="43" fontId="10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9" xfId="53" applyFont="1" applyFill="1" applyBorder="1" applyAlignment="1">
      <alignment horizontal="left" vertical="top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wrapText="1"/>
      <protection/>
    </xf>
    <xf numFmtId="0" fontId="6" fillId="34" borderId="13" xfId="53" applyFont="1" applyFill="1" applyBorder="1" applyAlignment="1">
      <alignment horizontal="center" wrapText="1"/>
      <protection/>
    </xf>
    <xf numFmtId="4" fontId="8" fillId="34" borderId="13" xfId="53" applyNumberFormat="1" applyFont="1" applyFill="1" applyBorder="1" applyAlignment="1">
      <alignment horizontal="center" wrapText="1"/>
      <protection/>
    </xf>
    <xf numFmtId="0" fontId="6" fillId="19" borderId="13" xfId="53" applyFont="1" applyFill="1" applyBorder="1" applyAlignment="1">
      <alignment horizontal="center" wrapText="1"/>
      <protection/>
    </xf>
    <xf numFmtId="4" fontId="8" fillId="19" borderId="13" xfId="53" applyNumberFormat="1" applyFont="1" applyFill="1" applyBorder="1" applyAlignment="1">
      <alignment horizontal="center" wrapText="1"/>
      <protection/>
    </xf>
    <xf numFmtId="0" fontId="8" fillId="7" borderId="13" xfId="53" applyFont="1" applyFill="1" applyBorder="1" applyAlignment="1">
      <alignment horizontal="center" wrapText="1"/>
      <protection/>
    </xf>
    <xf numFmtId="4" fontId="8" fillId="7" borderId="13" xfId="53" applyNumberFormat="1" applyFont="1" applyFill="1" applyBorder="1" applyAlignment="1">
      <alignment horizontal="center" wrapText="1"/>
      <protection/>
    </xf>
    <xf numFmtId="0" fontId="8" fillId="0" borderId="13" xfId="0" applyFont="1" applyBorder="1" applyAlignment="1">
      <alignment horizontal="left" vertical="top" wrapText="1"/>
    </xf>
    <xf numFmtId="0" fontId="8" fillId="7" borderId="13" xfId="0" applyFont="1" applyFill="1" applyBorder="1" applyAlignment="1">
      <alignment wrapText="1"/>
    </xf>
    <xf numFmtId="4" fontId="8" fillId="7" borderId="13" xfId="53" applyNumberFormat="1" applyFont="1" applyFill="1" applyBorder="1" applyAlignment="1">
      <alignment horizontal="center" vertical="top" wrapText="1"/>
      <protection/>
    </xf>
    <xf numFmtId="4" fontId="8" fillId="34" borderId="13" xfId="53" applyNumberFormat="1" applyFont="1" applyFill="1" applyBorder="1" applyAlignment="1">
      <alignment horizontal="center" vertical="top" wrapText="1"/>
      <protection/>
    </xf>
    <xf numFmtId="0" fontId="8" fillId="19" borderId="13" xfId="0" applyFont="1" applyFill="1" applyBorder="1" applyAlignment="1">
      <alignment wrapText="1"/>
    </xf>
    <xf numFmtId="4" fontId="8" fillId="19" borderId="13" xfId="53" applyNumberFormat="1" applyFont="1" applyFill="1" applyBorder="1" applyAlignment="1">
      <alignment horizontal="center" vertical="top" wrapText="1"/>
      <protection/>
    </xf>
    <xf numFmtId="0" fontId="8" fillId="13" borderId="13" xfId="53" applyFont="1" applyFill="1" applyBorder="1" applyAlignment="1">
      <alignment wrapText="1"/>
      <protection/>
    </xf>
    <xf numFmtId="4" fontId="8" fillId="13" borderId="13" xfId="53" applyNumberFormat="1" applyFont="1" applyFill="1" applyBorder="1" applyAlignment="1">
      <alignment horizontal="center" vertical="top" wrapText="1"/>
      <protection/>
    </xf>
    <xf numFmtId="0" fontId="6" fillId="34" borderId="13" xfId="53" applyFont="1" applyFill="1" applyBorder="1" applyAlignment="1">
      <alignment wrapText="1"/>
      <protection/>
    </xf>
    <xf numFmtId="0" fontId="8" fillId="7" borderId="13" xfId="53" applyFont="1" applyFill="1" applyBorder="1" applyAlignment="1">
      <alignment horizontal="center" vertical="top" wrapText="1"/>
      <protection/>
    </xf>
    <xf numFmtId="0" fontId="8" fillId="0" borderId="13" xfId="53" applyFont="1" applyFill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vertical="top" wrapText="1"/>
      <protection/>
    </xf>
    <xf numFmtId="4" fontId="8" fillId="0" borderId="13" xfId="53" applyNumberFormat="1" applyFont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wrapText="1"/>
      <protection/>
    </xf>
    <xf numFmtId="4" fontId="8" fillId="7" borderId="13" xfId="53" applyNumberFormat="1" applyFont="1" applyFill="1" applyBorder="1" applyAlignment="1">
      <alignment horizontal="center"/>
      <protection/>
    </xf>
    <xf numFmtId="0" fontId="8" fillId="19" borderId="13" xfId="53" applyFont="1" applyFill="1" applyBorder="1" applyAlignment="1">
      <alignment wrapText="1"/>
      <protection/>
    </xf>
    <xf numFmtId="0" fontId="6" fillId="34" borderId="13" xfId="53" applyFont="1" applyFill="1" applyBorder="1" applyAlignment="1">
      <alignment vertical="center" wrapText="1"/>
      <protection/>
    </xf>
    <xf numFmtId="0" fontId="8" fillId="7" borderId="13" xfId="0" applyFont="1" applyFill="1" applyBorder="1" applyAlignment="1">
      <alignment vertical="top" wrapText="1"/>
    </xf>
    <xf numFmtId="0" fontId="8" fillId="39" borderId="13" xfId="53" applyFont="1" applyFill="1" applyBorder="1" applyAlignment="1">
      <alignment wrapText="1"/>
      <protection/>
    </xf>
    <xf numFmtId="4" fontId="8" fillId="39" borderId="13" xfId="53" applyNumberFormat="1" applyFont="1" applyFill="1" applyBorder="1" applyAlignment="1">
      <alignment horizontal="center" vertical="top" wrapText="1"/>
      <protection/>
    </xf>
    <xf numFmtId="0" fontId="12" fillId="7" borderId="13" xfId="53" applyFont="1" applyFill="1" applyBorder="1" applyAlignment="1">
      <alignment wrapText="1"/>
      <protection/>
    </xf>
    <xf numFmtId="0" fontId="8" fillId="0" borderId="13" xfId="53" applyFont="1" applyBorder="1" applyAlignment="1">
      <alignment horizontal="left" vertical="top" wrapText="1"/>
      <protection/>
    </xf>
    <xf numFmtId="4" fontId="6" fillId="34" borderId="13" xfId="53" applyNumberFormat="1" applyFont="1" applyFill="1" applyBorder="1" applyAlignment="1">
      <alignment horizontal="center" vertical="top" wrapText="1"/>
      <protection/>
    </xf>
    <xf numFmtId="4" fontId="8" fillId="35" borderId="13" xfId="53" applyNumberFormat="1" applyFont="1" applyFill="1" applyBorder="1" applyAlignment="1">
      <alignment horizontal="center" vertical="top" wrapText="1"/>
      <protection/>
    </xf>
    <xf numFmtId="0" fontId="8" fillId="35" borderId="13" xfId="53" applyFont="1" applyFill="1" applyBorder="1" applyAlignment="1">
      <alignment wrapText="1"/>
      <protection/>
    </xf>
    <xf numFmtId="4" fontId="8" fillId="19" borderId="13" xfId="53" applyNumberFormat="1" applyFont="1" applyFill="1" applyBorder="1" applyAlignment="1">
      <alignment horizontal="center"/>
      <protection/>
    </xf>
    <xf numFmtId="0" fontId="8" fillId="0" borderId="13" xfId="53" applyFont="1" applyFill="1" applyBorder="1" applyAlignment="1">
      <alignment wrapText="1"/>
      <protection/>
    </xf>
    <xf numFmtId="0" fontId="8" fillId="0" borderId="13" xfId="53" applyFont="1" applyFill="1" applyBorder="1" applyAlignment="1">
      <alignment horizontal="left" vertical="top" wrapText="1"/>
      <protection/>
    </xf>
    <xf numFmtId="0" fontId="8" fillId="34" borderId="13" xfId="53" applyNumberFormat="1" applyFont="1" applyFill="1" applyBorder="1" applyAlignment="1">
      <alignment vertical="top" wrapText="1"/>
      <protection/>
    </xf>
    <xf numFmtId="0" fontId="6" fillId="34" borderId="13" xfId="53" applyNumberFormat="1" applyFont="1" applyFill="1" applyBorder="1" applyAlignment="1">
      <alignment vertical="center" wrapText="1"/>
      <protection/>
    </xf>
    <xf numFmtId="0" fontId="8" fillId="35" borderId="13" xfId="53" applyNumberFormat="1" applyFont="1" applyFill="1" applyBorder="1" applyAlignment="1">
      <alignment vertical="top" wrapText="1"/>
      <protection/>
    </xf>
    <xf numFmtId="0" fontId="8" fillId="7" borderId="13" xfId="53" applyFont="1" applyFill="1" applyBorder="1" applyAlignment="1">
      <alignment horizontal="left" wrapText="1"/>
      <protection/>
    </xf>
    <xf numFmtId="0" fontId="8" fillId="19" borderId="13" xfId="53" applyFont="1" applyFill="1" applyBorder="1" applyAlignment="1">
      <alignment horizontal="left" vertical="top" wrapText="1"/>
      <protection/>
    </xf>
    <xf numFmtId="0" fontId="8" fillId="7" borderId="13" xfId="53" applyFont="1" applyFill="1" applyBorder="1" applyAlignment="1">
      <alignment horizontal="left" vertical="top" wrapText="1"/>
      <protection/>
    </xf>
    <xf numFmtId="0" fontId="8" fillId="19" borderId="13" xfId="53" applyFont="1" applyFill="1" applyBorder="1" applyAlignment="1">
      <alignment horizontal="left" wrapText="1"/>
      <protection/>
    </xf>
    <xf numFmtId="0" fontId="8" fillId="35" borderId="13" xfId="53" applyFont="1" applyFill="1" applyBorder="1" applyAlignment="1">
      <alignment horizontal="left" vertical="top" wrapText="1"/>
      <protection/>
    </xf>
    <xf numFmtId="0" fontId="8" fillId="35" borderId="13" xfId="53" applyFont="1" applyFill="1" applyBorder="1" applyAlignment="1">
      <alignment horizontal="left" wrapText="1"/>
      <protection/>
    </xf>
    <xf numFmtId="0" fontId="8" fillId="19" borderId="13" xfId="53" applyFont="1" applyFill="1" applyBorder="1" applyAlignment="1">
      <alignment horizontal="left"/>
      <protection/>
    </xf>
    <xf numFmtId="0" fontId="8" fillId="7" borderId="13" xfId="53" applyFont="1" applyFill="1" applyBorder="1" applyAlignment="1">
      <alignment horizontal="left"/>
      <protection/>
    </xf>
    <xf numFmtId="0" fontId="8" fillId="0" borderId="30" xfId="0" applyFont="1" applyFill="1" applyBorder="1" applyAlignment="1">
      <alignment vertical="top" wrapText="1"/>
    </xf>
    <xf numFmtId="0" fontId="8" fillId="36" borderId="13" xfId="0" applyFont="1" applyFill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15" fillId="0" borderId="0" xfId="53" applyFont="1">
      <alignment/>
      <protection/>
    </xf>
    <xf numFmtId="0" fontId="15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0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0" fontId="8" fillId="40" borderId="13" xfId="53" applyNumberFormat="1" applyFont="1" applyFill="1" applyBorder="1" applyAlignment="1">
      <alignment vertical="top" wrapText="1"/>
      <protection/>
    </xf>
    <xf numFmtId="0" fontId="8" fillId="40" borderId="13" xfId="53" applyNumberFormat="1" applyFont="1" applyFill="1" applyBorder="1" applyAlignment="1">
      <alignment vertical="center" wrapText="1"/>
      <protection/>
    </xf>
    <xf numFmtId="4" fontId="8" fillId="40" borderId="13" xfId="53" applyNumberFormat="1" applyFont="1" applyFill="1" applyBorder="1" applyAlignment="1">
      <alignment horizontal="center" vertical="top" wrapText="1"/>
      <protection/>
    </xf>
    <xf numFmtId="0" fontId="8" fillId="41" borderId="13" xfId="53" applyNumberFormat="1" applyFont="1" applyFill="1" applyBorder="1" applyAlignment="1">
      <alignment vertical="top" wrapText="1"/>
      <protection/>
    </xf>
    <xf numFmtId="0" fontId="8" fillId="41" borderId="13" xfId="53" applyNumberFormat="1" applyFont="1" applyFill="1" applyBorder="1" applyAlignment="1">
      <alignment vertical="center" wrapText="1"/>
      <protection/>
    </xf>
    <xf numFmtId="4" fontId="8" fillId="41" borderId="13" xfId="53" applyNumberFormat="1" applyFont="1" applyFill="1" applyBorder="1" applyAlignment="1">
      <alignment horizontal="center" vertical="top" wrapText="1"/>
      <protection/>
    </xf>
    <xf numFmtId="0" fontId="10" fillId="0" borderId="13" xfId="53" applyFont="1" applyBorder="1">
      <alignment/>
      <protection/>
    </xf>
    <xf numFmtId="4" fontId="10" fillId="0" borderId="0" xfId="53" applyNumberFormat="1" applyFont="1">
      <alignment/>
      <protection/>
    </xf>
    <xf numFmtId="171" fontId="10" fillId="0" borderId="0" xfId="53" applyNumberFormat="1" applyFont="1">
      <alignment/>
      <protection/>
    </xf>
    <xf numFmtId="171" fontId="10" fillId="0" borderId="30" xfId="63" applyFont="1" applyBorder="1" applyAlignment="1">
      <alignment horizontal="center" vertical="center"/>
    </xf>
    <xf numFmtId="4" fontId="8" fillId="0" borderId="30" xfId="53" applyNumberFormat="1" applyFont="1" applyFill="1" applyBorder="1" applyAlignment="1">
      <alignment horizontal="center" vertical="top" wrapText="1"/>
      <protection/>
    </xf>
    <xf numFmtId="0" fontId="10" fillId="0" borderId="31" xfId="53" applyFont="1" applyBorder="1" applyAlignment="1">
      <alignment horizontal="center" vertical="center" wrapText="1"/>
      <protection/>
    </xf>
    <xf numFmtId="0" fontId="10" fillId="0" borderId="29" xfId="53" applyFont="1" applyBorder="1" applyAlignment="1">
      <alignment horizontal="center" wrapText="1"/>
      <protection/>
    </xf>
    <xf numFmtId="0" fontId="10" fillId="0" borderId="31" xfId="53" applyFont="1" applyBorder="1" applyAlignment="1">
      <alignment horizontal="center" wrapText="1"/>
      <protection/>
    </xf>
    <xf numFmtId="0" fontId="8" fillId="34" borderId="29" xfId="53" applyFont="1" applyFill="1" applyBorder="1" applyAlignment="1">
      <alignment horizontal="center" wrapText="1"/>
      <protection/>
    </xf>
    <xf numFmtId="4" fontId="8" fillId="34" borderId="31" xfId="53" applyNumberFormat="1" applyFont="1" applyFill="1" applyBorder="1" applyAlignment="1">
      <alignment horizontal="center" wrapText="1"/>
      <protection/>
    </xf>
    <xf numFmtId="0" fontId="8" fillId="19" borderId="29" xfId="53" applyFont="1" applyFill="1" applyBorder="1" applyAlignment="1">
      <alignment horizontal="center" wrapText="1"/>
      <protection/>
    </xf>
    <xf numFmtId="4" fontId="8" fillId="19" borderId="31" xfId="53" applyNumberFormat="1" applyFont="1" applyFill="1" applyBorder="1" applyAlignment="1">
      <alignment horizontal="center" wrapText="1"/>
      <protection/>
    </xf>
    <xf numFmtId="0" fontId="8" fillId="7" borderId="29" xfId="53" applyFont="1" applyFill="1" applyBorder="1" applyAlignment="1">
      <alignment horizontal="center" wrapText="1"/>
      <protection/>
    </xf>
    <xf numFmtId="4" fontId="8" fillId="7" borderId="31" xfId="53" applyNumberFormat="1" applyFont="1" applyFill="1" applyBorder="1" applyAlignment="1">
      <alignment horizontal="center" wrapText="1"/>
      <protection/>
    </xf>
    <xf numFmtId="0" fontId="8" fillId="0" borderId="29" xfId="0" applyFont="1" applyBorder="1" applyAlignment="1">
      <alignment horizontal="center" vertical="top" wrapText="1"/>
    </xf>
    <xf numFmtId="4" fontId="8" fillId="0" borderId="31" xfId="53" applyNumberFormat="1" applyFont="1" applyFill="1" applyBorder="1" applyAlignment="1">
      <alignment horizontal="center" vertical="top" wrapText="1"/>
      <protection/>
    </xf>
    <xf numFmtId="0" fontId="8" fillId="7" borderId="29" xfId="0" applyFont="1" applyFill="1" applyBorder="1" applyAlignment="1">
      <alignment horizontal="center" vertical="top" wrapText="1"/>
    </xf>
    <xf numFmtId="4" fontId="8" fillId="7" borderId="31" xfId="53" applyNumberFormat="1" applyFont="1" applyFill="1" applyBorder="1" applyAlignment="1">
      <alignment horizontal="center" vertical="top" wrapText="1"/>
      <protection/>
    </xf>
    <xf numFmtId="0" fontId="8" fillId="34" borderId="29" xfId="0" applyFont="1" applyFill="1" applyBorder="1" applyAlignment="1">
      <alignment horizontal="center" vertical="top" wrapText="1"/>
    </xf>
    <xf numFmtId="4" fontId="8" fillId="34" borderId="31" xfId="53" applyNumberFormat="1" applyFont="1" applyFill="1" applyBorder="1" applyAlignment="1">
      <alignment horizontal="center" vertical="top" wrapText="1"/>
      <protection/>
    </xf>
    <xf numFmtId="0" fontId="8" fillId="19" borderId="29" xfId="0" applyFont="1" applyFill="1" applyBorder="1" applyAlignment="1">
      <alignment horizontal="center" vertical="top" wrapText="1"/>
    </xf>
    <xf numFmtId="4" fontId="8" fillId="19" borderId="31" xfId="53" applyNumberFormat="1" applyFont="1" applyFill="1" applyBorder="1" applyAlignment="1">
      <alignment horizontal="center" vertical="top" wrapText="1"/>
      <protection/>
    </xf>
    <xf numFmtId="0" fontId="8" fillId="13" borderId="29" xfId="53" applyFont="1" applyFill="1" applyBorder="1" applyAlignment="1">
      <alignment horizontal="center" vertical="center" wrapText="1"/>
      <protection/>
    </xf>
    <xf numFmtId="4" fontId="8" fillId="13" borderId="31" xfId="53" applyNumberFormat="1" applyFont="1" applyFill="1" applyBorder="1" applyAlignment="1">
      <alignment horizontal="center" vertical="top" wrapText="1"/>
      <protection/>
    </xf>
    <xf numFmtId="0" fontId="8" fillId="0" borderId="29" xfId="53" applyFont="1" applyBorder="1" applyAlignment="1">
      <alignment horizontal="center" vertical="center" wrapText="1"/>
      <protection/>
    </xf>
    <xf numFmtId="0" fontId="8" fillId="13" borderId="29" xfId="0" applyFont="1" applyFill="1" applyBorder="1" applyAlignment="1">
      <alignment horizontal="center" vertical="center" wrapText="1"/>
    </xf>
    <xf numFmtId="0" fontId="6" fillId="34" borderId="29" xfId="53" applyFont="1" applyFill="1" applyBorder="1" applyAlignment="1">
      <alignment horizontal="center" vertical="center" wrapText="1"/>
      <protection/>
    </xf>
    <xf numFmtId="4" fontId="8" fillId="35" borderId="31" xfId="53" applyNumberFormat="1" applyFont="1" applyFill="1" applyBorder="1" applyAlignment="1">
      <alignment horizontal="center" vertical="top" wrapText="1"/>
      <protection/>
    </xf>
    <xf numFmtId="49" fontId="8" fillId="7" borderId="29" xfId="53" applyNumberFormat="1" applyFont="1" applyFill="1" applyBorder="1" applyAlignment="1">
      <alignment horizontal="center" vertical="center" wrapText="1"/>
      <protection/>
    </xf>
    <xf numFmtId="49" fontId="8" fillId="0" borderId="29" xfId="53" applyNumberFormat="1" applyFont="1" applyFill="1" applyBorder="1" applyAlignment="1">
      <alignment horizontal="center" vertical="center" wrapText="1"/>
      <protection/>
    </xf>
    <xf numFmtId="0" fontId="8" fillId="7" borderId="29" xfId="53" applyFont="1" applyFill="1" applyBorder="1" applyAlignment="1">
      <alignment horizontal="center" vertical="center" wrapText="1"/>
      <protection/>
    </xf>
    <xf numFmtId="4" fontId="8" fillId="0" borderId="31" xfId="53" applyNumberFormat="1" applyFont="1" applyBorder="1" applyAlignment="1">
      <alignment horizontal="center" vertical="top" wrapText="1"/>
      <protection/>
    </xf>
    <xf numFmtId="0" fontId="8" fillId="7" borderId="29" xfId="53" applyFont="1" applyFill="1" applyBorder="1" applyAlignment="1">
      <alignment horizontal="center"/>
      <protection/>
    </xf>
    <xf numFmtId="4" fontId="8" fillId="7" borderId="31" xfId="53" applyNumberFormat="1" applyFont="1" applyFill="1" applyBorder="1" applyAlignment="1">
      <alignment horizontal="center"/>
      <protection/>
    </xf>
    <xf numFmtId="0" fontId="8" fillId="34" borderId="29" xfId="53" applyFont="1" applyFill="1" applyBorder="1" applyAlignment="1">
      <alignment horizontal="center" vertical="center" wrapText="1"/>
      <protection/>
    </xf>
    <xf numFmtId="0" fontId="8" fillId="19" borderId="29" xfId="53" applyFont="1" applyFill="1" applyBorder="1" applyAlignment="1">
      <alignment horizontal="center" vertical="center" wrapText="1"/>
      <protection/>
    </xf>
    <xf numFmtId="0" fontId="8" fillId="7" borderId="2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39" borderId="29" xfId="53" applyFont="1" applyFill="1" applyBorder="1" applyAlignment="1">
      <alignment horizontal="center" vertical="center" wrapText="1"/>
      <protection/>
    </xf>
    <xf numFmtId="4" fontId="8" fillId="39" borderId="31" xfId="53" applyNumberFormat="1" applyFont="1" applyFill="1" applyBorder="1" applyAlignment="1">
      <alignment horizontal="center" vertical="top" wrapText="1"/>
      <protection/>
    </xf>
    <xf numFmtId="49" fontId="8" fillId="0" borderId="29" xfId="0" applyNumberFormat="1" applyFont="1" applyBorder="1" applyAlignment="1">
      <alignment horizontal="center" vertical="center"/>
    </xf>
    <xf numFmtId="0" fontId="8" fillId="0" borderId="29" xfId="53" applyFont="1" applyFill="1" applyBorder="1" applyAlignment="1">
      <alignment horizontal="center" vertical="center" wrapText="1"/>
      <protection/>
    </xf>
    <xf numFmtId="0" fontId="8" fillId="35" borderId="29" xfId="53" applyFont="1" applyFill="1" applyBorder="1" applyAlignment="1">
      <alignment horizontal="center" vertical="center" wrapText="1"/>
      <protection/>
    </xf>
    <xf numFmtId="0" fontId="8" fillId="19" borderId="29" xfId="53" applyFont="1" applyFill="1" applyBorder="1" applyAlignment="1">
      <alignment horizontal="center"/>
      <protection/>
    </xf>
    <xf numFmtId="4" fontId="8" fillId="19" borderId="31" xfId="53" applyNumberFormat="1" applyFont="1" applyFill="1" applyBorder="1" applyAlignment="1">
      <alignment horizontal="center"/>
      <protection/>
    </xf>
    <xf numFmtId="0" fontId="8" fillId="40" borderId="29" xfId="53" applyFont="1" applyFill="1" applyBorder="1" applyAlignment="1">
      <alignment horizontal="center" vertical="center" wrapText="1"/>
      <protection/>
    </xf>
    <xf numFmtId="4" fontId="8" fillId="40" borderId="31" xfId="53" applyNumberFormat="1" applyFont="1" applyFill="1" applyBorder="1" applyAlignment="1">
      <alignment horizontal="center" vertical="top" wrapText="1"/>
      <protection/>
    </xf>
    <xf numFmtId="0" fontId="8" fillId="41" borderId="29" xfId="53" applyFont="1" applyFill="1" applyBorder="1" applyAlignment="1">
      <alignment horizontal="center" vertical="center" wrapText="1"/>
      <protection/>
    </xf>
    <xf numFmtId="4" fontId="8" fillId="41" borderId="31" xfId="53" applyNumberFormat="1" applyFont="1" applyFill="1" applyBorder="1" applyAlignment="1">
      <alignment horizontal="center" vertical="top" wrapText="1"/>
      <protection/>
    </xf>
    <xf numFmtId="0" fontId="6" fillId="35" borderId="32" xfId="53" applyFont="1" applyFill="1" applyBorder="1" applyAlignment="1">
      <alignment horizontal="center" vertical="center" wrapText="1"/>
      <protection/>
    </xf>
    <xf numFmtId="0" fontId="6" fillId="35" borderId="33" xfId="53" applyFont="1" applyFill="1" applyBorder="1" applyAlignment="1">
      <alignment horizontal="center" vertical="top" wrapText="1"/>
      <protection/>
    </xf>
    <xf numFmtId="4" fontId="6" fillId="35" borderId="33" xfId="53" applyNumberFormat="1" applyFont="1" applyFill="1" applyBorder="1" applyAlignment="1">
      <alignment horizontal="center" vertical="top" wrapText="1"/>
      <protection/>
    </xf>
    <xf numFmtId="4" fontId="6" fillId="35" borderId="34" xfId="53" applyNumberFormat="1" applyFont="1" applyFill="1" applyBorder="1" applyAlignment="1">
      <alignment horizontal="center" vertical="top" wrapText="1"/>
      <protection/>
    </xf>
    <xf numFmtId="171" fontId="24" fillId="0" borderId="0" xfId="63" applyNumberFormat="1" applyFont="1" applyAlignment="1">
      <alignment/>
    </xf>
    <xf numFmtId="0" fontId="24" fillId="0" borderId="0" xfId="0" applyFont="1" applyAlignment="1">
      <alignment/>
    </xf>
    <xf numFmtId="2" fontId="25" fillId="0" borderId="13" xfId="0" applyNumberFormat="1" applyFont="1" applyBorder="1" applyAlignment="1">
      <alignment horizontal="centerContinuous" vertical="center" wrapText="1"/>
    </xf>
    <xf numFmtId="0" fontId="21" fillId="0" borderId="13" xfId="0" applyFont="1" applyBorder="1" applyAlignment="1">
      <alignment horizontal="center" vertical="top" wrapTex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 wrapText="1"/>
    </xf>
    <xf numFmtId="4" fontId="21" fillId="34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Continuous" vertical="center" wrapText="1"/>
    </xf>
    <xf numFmtId="4" fontId="24" fillId="0" borderId="0" xfId="0" applyNumberFormat="1" applyFont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1" fillId="0" borderId="13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/>
    </xf>
    <xf numFmtId="4" fontId="11" fillId="37" borderId="13" xfId="0" applyNumberFormat="1" applyFont="1" applyFill="1" applyBorder="1" applyAlignment="1">
      <alignment horizontal="right" vertical="center" wrapText="1"/>
    </xf>
    <xf numFmtId="4" fontId="11" fillId="33" borderId="13" xfId="0" applyNumberFormat="1" applyFont="1" applyFill="1" applyBorder="1" applyAlignment="1">
      <alignment horizontal="right" vertical="center" wrapText="1"/>
    </xf>
    <xf numFmtId="4" fontId="21" fillId="35" borderId="13" xfId="0" applyNumberFormat="1" applyFont="1" applyFill="1" applyBorder="1" applyAlignment="1">
      <alignment horizontal="right" vertical="center" wrapText="1"/>
    </xf>
    <xf numFmtId="4" fontId="11" fillId="34" borderId="13" xfId="0" applyNumberFormat="1" applyFont="1" applyFill="1" applyBorder="1" applyAlignment="1">
      <alignment horizontal="center" vertical="center"/>
    </xf>
    <xf numFmtId="4" fontId="21" fillId="35" borderId="13" xfId="0" applyNumberFormat="1" applyFont="1" applyFill="1" applyBorder="1" applyAlignment="1">
      <alignment vertical="center"/>
    </xf>
    <xf numFmtId="171" fontId="24" fillId="35" borderId="13" xfId="63" applyFont="1" applyFill="1" applyBorder="1" applyAlignment="1">
      <alignment horizontal="center" vertical="center"/>
    </xf>
    <xf numFmtId="171" fontId="21" fillId="35" borderId="13" xfId="63" applyFont="1" applyFill="1" applyBorder="1" applyAlignment="1">
      <alignment horizontal="center" vertical="center" wrapText="1"/>
    </xf>
    <xf numFmtId="4" fontId="11" fillId="33" borderId="13" xfId="54" applyNumberFormat="1" applyFont="1" applyFill="1" applyBorder="1" applyAlignment="1">
      <alignment horizontal="center" vertical="top" wrapText="1"/>
      <protection/>
    </xf>
    <xf numFmtId="4" fontId="21" fillId="35" borderId="13" xfId="54" applyNumberFormat="1" applyFont="1" applyFill="1" applyBorder="1" applyAlignment="1">
      <alignment horizontal="center" vertical="center" wrapText="1"/>
      <protection/>
    </xf>
    <xf numFmtId="4" fontId="21" fillId="0" borderId="13" xfId="54" applyNumberFormat="1" applyFont="1" applyFill="1" applyBorder="1" applyAlignment="1">
      <alignment horizontal="center" vertical="center" wrapText="1"/>
      <protection/>
    </xf>
    <xf numFmtId="171" fontId="21" fillId="0" borderId="13" xfId="63" applyFont="1" applyFill="1" applyBorder="1" applyAlignment="1">
      <alignment horizontal="center" vertical="center"/>
    </xf>
    <xf numFmtId="171" fontId="21" fillId="35" borderId="13" xfId="63" applyFont="1" applyFill="1" applyBorder="1" applyAlignment="1">
      <alignment horizontal="center" vertical="center"/>
    </xf>
    <xf numFmtId="2" fontId="21" fillId="35" borderId="13" xfId="63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right" vertical="center" wrapText="1"/>
    </xf>
    <xf numFmtId="4" fontId="11" fillId="34" borderId="13" xfId="0" applyNumberFormat="1" applyFont="1" applyFill="1" applyBorder="1" applyAlignment="1">
      <alignment horizontal="right" vertical="center" wrapText="1"/>
    </xf>
    <xf numFmtId="4" fontId="21" fillId="0" borderId="13" xfId="0" applyNumberFormat="1" applyFont="1" applyFill="1" applyBorder="1" applyAlignment="1">
      <alignment vertical="center"/>
    </xf>
    <xf numFmtId="4" fontId="11" fillId="37" borderId="13" xfId="0" applyNumberFormat="1" applyFont="1" applyFill="1" applyBorder="1" applyAlignment="1">
      <alignment horizontal="center" vertical="center" wrapText="1"/>
    </xf>
    <xf numFmtId="4" fontId="21" fillId="35" borderId="13" xfId="54" applyNumberFormat="1" applyFont="1" applyFill="1" applyBorder="1" applyAlignment="1">
      <alignment horizontal="right" vertical="top" wrapText="1"/>
      <protection/>
    </xf>
    <xf numFmtId="171" fontId="11" fillId="34" borderId="13" xfId="63" applyFont="1" applyFill="1" applyBorder="1" applyAlignment="1">
      <alignment horizontal="right" vertical="center" wrapText="1"/>
    </xf>
    <xf numFmtId="171" fontId="21" fillId="0" borderId="13" xfId="63" applyFont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/>
    </xf>
    <xf numFmtId="171" fontId="24" fillId="35" borderId="13" xfId="0" applyNumberFormat="1" applyFont="1" applyFill="1" applyBorder="1" applyAlignment="1">
      <alignment horizontal="center" vertical="center"/>
    </xf>
    <xf numFmtId="171" fontId="8" fillId="0" borderId="30" xfId="63" applyFont="1" applyBorder="1" applyAlignment="1">
      <alignment horizontal="center" vertical="top" wrapText="1"/>
    </xf>
    <xf numFmtId="171" fontId="8" fillId="0" borderId="13" xfId="63" applyFont="1" applyBorder="1" applyAlignment="1">
      <alignment horizontal="center" vertical="top" wrapText="1"/>
    </xf>
    <xf numFmtId="171" fontId="10" fillId="0" borderId="13" xfId="63" applyFont="1" applyBorder="1" applyAlignment="1">
      <alignment/>
    </xf>
    <xf numFmtId="4" fontId="0" fillId="0" borderId="0" xfId="0" applyNumberFormat="1" applyFont="1" applyBorder="1" applyAlignment="1">
      <alignment/>
    </xf>
    <xf numFmtId="171" fontId="12" fillId="0" borderId="0" xfId="63" applyFont="1" applyAlignment="1">
      <alignment/>
    </xf>
    <xf numFmtId="171" fontId="7" fillId="0" borderId="13" xfId="63" applyFont="1" applyBorder="1" applyAlignment="1">
      <alignment horizontal="center" vertical="center" wrapText="1"/>
    </xf>
    <xf numFmtId="171" fontId="6" fillId="37" borderId="13" xfId="63" applyFont="1" applyFill="1" applyBorder="1" applyAlignment="1">
      <alignment horizontal="right" vertical="center" wrapText="1"/>
    </xf>
    <xf numFmtId="171" fontId="6" fillId="33" borderId="13" xfId="63" applyFont="1" applyFill="1" applyBorder="1" applyAlignment="1">
      <alignment vertical="center"/>
    </xf>
    <xf numFmtId="171" fontId="8" fillId="0" borderId="13" xfId="63" applyFont="1" applyFill="1" applyBorder="1" applyAlignment="1">
      <alignment vertical="center"/>
    </xf>
    <xf numFmtId="171" fontId="8" fillId="0" borderId="13" xfId="63" applyFont="1" applyFill="1" applyBorder="1" applyAlignment="1">
      <alignment horizontal="right" vertical="center" wrapText="1"/>
    </xf>
    <xf numFmtId="171" fontId="6" fillId="34" borderId="13" xfId="63" applyFont="1" applyFill="1" applyBorder="1" applyAlignment="1">
      <alignment horizontal="center" vertical="center" wrapText="1"/>
    </xf>
    <xf numFmtId="171" fontId="8" fillId="33" borderId="13" xfId="63" applyFont="1" applyFill="1" applyBorder="1" applyAlignment="1">
      <alignment horizontal="right" vertical="center" wrapText="1"/>
    </xf>
    <xf numFmtId="171" fontId="0" fillId="0" borderId="0" xfId="63" applyFont="1" applyAlignment="1">
      <alignment/>
    </xf>
    <xf numFmtId="171" fontId="6" fillId="19" borderId="13" xfId="63" applyFont="1" applyFill="1" applyBorder="1" applyAlignment="1">
      <alignment horizontal="center" vertical="center"/>
    </xf>
    <xf numFmtId="43" fontId="0" fillId="0" borderId="0" xfId="0" applyNumberFormat="1" applyFont="1" applyAlignment="1">
      <alignment/>
    </xf>
    <xf numFmtId="0" fontId="8" fillId="35" borderId="13" xfId="54" applyFont="1" applyFill="1" applyBorder="1" applyAlignment="1">
      <alignment horizontal="center" vertical="top" wrapText="1"/>
      <protection/>
    </xf>
    <xf numFmtId="49" fontId="8" fillId="35" borderId="13" xfId="54" applyNumberFormat="1" applyFont="1" applyFill="1" applyBorder="1" applyAlignment="1">
      <alignment horizontal="center" vertical="top" wrapText="1"/>
      <protection/>
    </xf>
    <xf numFmtId="0" fontId="8" fillId="14" borderId="29" xfId="53" applyFont="1" applyFill="1" applyBorder="1" applyAlignment="1">
      <alignment horizontal="center" vertical="center" wrapText="1"/>
      <protection/>
    </xf>
    <xf numFmtId="0" fontId="6" fillId="14" borderId="13" xfId="53" applyFont="1" applyFill="1" applyBorder="1" applyAlignment="1">
      <alignment wrapText="1"/>
      <protection/>
    </xf>
    <xf numFmtId="4" fontId="8" fillId="14" borderId="13" xfId="53" applyNumberFormat="1" applyFont="1" applyFill="1" applyBorder="1" applyAlignment="1">
      <alignment horizontal="center" vertical="top" wrapText="1"/>
      <protection/>
    </xf>
    <xf numFmtId="4" fontId="8" fillId="14" borderId="31" xfId="53" applyNumberFormat="1" applyFont="1" applyFill="1" applyBorder="1" applyAlignment="1">
      <alignment horizontal="center" vertical="top" wrapText="1"/>
      <protection/>
    </xf>
    <xf numFmtId="4" fontId="6" fillId="34" borderId="31" xfId="53" applyNumberFormat="1" applyFont="1" applyFill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left" wrapText="1"/>
      <protection/>
    </xf>
    <xf numFmtId="0" fontId="6" fillId="34" borderId="13" xfId="53" applyFont="1" applyFill="1" applyBorder="1" applyAlignment="1">
      <alignment horizontal="left" wrapText="1"/>
      <protection/>
    </xf>
    <xf numFmtId="0" fontId="8" fillId="41" borderId="13" xfId="53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horizontal="left" wrapText="1"/>
      <protection/>
    </xf>
    <xf numFmtId="0" fontId="6" fillId="34" borderId="29" xfId="53" applyFont="1" applyFill="1" applyBorder="1" applyAlignment="1">
      <alignment horizontal="center" vertical="center"/>
      <protection/>
    </xf>
    <xf numFmtId="4" fontId="6" fillId="34" borderId="13" xfId="53" applyNumberFormat="1" applyFont="1" applyFill="1" applyBorder="1" applyAlignment="1">
      <alignment horizontal="center"/>
      <protection/>
    </xf>
    <xf numFmtId="4" fontId="6" fillId="34" borderId="31" xfId="53" applyNumberFormat="1" applyFont="1" applyFill="1" applyBorder="1" applyAlignment="1">
      <alignment horizontal="center"/>
      <protection/>
    </xf>
    <xf numFmtId="0" fontId="8" fillId="0" borderId="13" xfId="53" applyNumberFormat="1" applyFont="1" applyFill="1" applyBorder="1" applyAlignment="1">
      <alignment vertical="top" wrapText="1"/>
      <protection/>
    </xf>
    <xf numFmtId="0" fontId="8" fillId="19" borderId="13" xfId="53" applyFont="1" applyFill="1" applyBorder="1" applyAlignment="1">
      <alignment vertical="top" wrapText="1"/>
      <protection/>
    </xf>
    <xf numFmtId="0" fontId="8" fillId="35" borderId="13" xfId="53" applyNumberFormat="1" applyFont="1" applyFill="1" applyBorder="1" applyAlignment="1">
      <alignment vertical="center" wrapText="1"/>
      <protection/>
    </xf>
    <xf numFmtId="0" fontId="8" fillId="0" borderId="35" xfId="0" applyFont="1" applyBorder="1" applyAlignment="1">
      <alignment vertical="top" wrapText="1"/>
    </xf>
    <xf numFmtId="2" fontId="6" fillId="37" borderId="13" xfId="0" applyNumberFormat="1" applyFont="1" applyFill="1" applyBorder="1" applyAlignment="1">
      <alignment horizontal="right" vertical="center" wrapText="1"/>
    </xf>
    <xf numFmtId="171" fontId="8" fillId="35" borderId="13" xfId="63" applyFont="1" applyFill="1" applyBorder="1" applyAlignment="1">
      <alignment vertical="center"/>
    </xf>
    <xf numFmtId="171" fontId="6" fillId="33" borderId="13" xfId="63" applyFont="1" applyFill="1" applyBorder="1" applyAlignment="1">
      <alignment horizontal="right" vertical="top" wrapText="1"/>
    </xf>
    <xf numFmtId="49" fontId="11" fillId="33" borderId="13" xfId="0" applyNumberFormat="1" applyFont="1" applyFill="1" applyBorder="1" applyAlignment="1">
      <alignment horizontal="left" vertical="justify" wrapText="1"/>
    </xf>
    <xf numFmtId="43" fontId="0" fillId="35" borderId="0" xfId="0" applyNumberFormat="1" applyFont="1" applyFill="1" applyAlignment="1">
      <alignment/>
    </xf>
    <xf numFmtId="171" fontId="66" fillId="0" borderId="13" xfId="63" applyFont="1" applyBorder="1" applyAlignment="1">
      <alignment horizontal="center" vertical="center"/>
    </xf>
    <xf numFmtId="4" fontId="67" fillId="35" borderId="13" xfId="0" applyNumberFormat="1" applyFont="1" applyFill="1" applyBorder="1" applyAlignment="1">
      <alignment horizontal="center" vertical="center"/>
    </xf>
    <xf numFmtId="43" fontId="66" fillId="0" borderId="0" xfId="0" applyNumberFormat="1" applyFont="1" applyAlignment="1">
      <alignment/>
    </xf>
    <xf numFmtId="0" fontId="66" fillId="0" borderId="0" xfId="0" applyFont="1" applyAlignment="1">
      <alignment/>
    </xf>
    <xf numFmtId="4" fontId="68" fillId="0" borderId="13" xfId="0" applyNumberFormat="1" applyFont="1" applyBorder="1" applyAlignment="1">
      <alignment horizontal="center" vertical="center" wrapText="1"/>
    </xf>
    <xf numFmtId="4" fontId="6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8" fillId="0" borderId="19" xfId="53" applyFont="1" applyBorder="1" applyAlignment="1">
      <alignment horizontal="center"/>
      <protection/>
    </xf>
    <xf numFmtId="0" fontId="18" fillId="0" borderId="36" xfId="53" applyFont="1" applyBorder="1" applyAlignment="1">
      <alignment horizontal="center"/>
      <protection/>
    </xf>
    <xf numFmtId="0" fontId="18" fillId="0" borderId="18" xfId="53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6" fillId="0" borderId="0" xfId="53" applyFont="1" applyAlignment="1">
      <alignment horizontal="center" vertical="center" wrapText="1"/>
      <protection/>
    </xf>
    <xf numFmtId="0" fontId="10" fillId="0" borderId="37" xfId="53" applyFont="1" applyBorder="1" applyAlignment="1">
      <alignment horizontal="center" vertical="center" wrapText="1"/>
      <protection/>
    </xf>
    <xf numFmtId="0" fontId="10" fillId="0" borderId="29" xfId="53" applyFont="1" applyBorder="1" applyAlignment="1">
      <alignment horizontal="center" vertical="center" wrapText="1"/>
      <protection/>
    </xf>
    <xf numFmtId="0" fontId="10" fillId="0" borderId="38" xfId="53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10" fillId="0" borderId="39" xfId="53" applyFont="1" applyBorder="1" applyAlignment="1">
      <alignment horizontal="center" vertical="center" wrapText="1"/>
      <protection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8" fillId="0" borderId="2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9" fillId="0" borderId="4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12" fillId="0" borderId="50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52" xfId="0" applyFont="1" applyBorder="1" applyAlignment="1">
      <alignment horizontal="center" vertical="top" wrapText="1"/>
    </xf>
    <xf numFmtId="0" fontId="12" fillId="0" borderId="48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5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2" fillId="0" borderId="4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4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9" fontId="13" fillId="0" borderId="50" xfId="0" applyNumberFormat="1" applyFont="1" applyBorder="1" applyAlignment="1">
      <alignment horizontal="center" wrapText="1"/>
    </xf>
    <xf numFmtId="179" fontId="13" fillId="0" borderId="51" xfId="0" applyNumberFormat="1" applyFont="1" applyBorder="1" applyAlignment="1">
      <alignment horizontal="center" wrapText="1"/>
    </xf>
    <xf numFmtId="179" fontId="13" fillId="0" borderId="21" xfId="0" applyNumberFormat="1" applyFont="1" applyBorder="1" applyAlignment="1">
      <alignment horizontal="center" wrapText="1"/>
    </xf>
    <xf numFmtId="179" fontId="12" fillId="0" borderId="50" xfId="0" applyNumberFormat="1" applyFont="1" applyBorder="1" applyAlignment="1">
      <alignment horizontal="center" wrapText="1"/>
    </xf>
    <xf numFmtId="179" fontId="12" fillId="0" borderId="51" xfId="0" applyNumberFormat="1" applyFont="1" applyBorder="1" applyAlignment="1">
      <alignment horizontal="center" wrapText="1"/>
    </xf>
    <xf numFmtId="179" fontId="12" fillId="0" borderId="21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left" wrapText="1"/>
    </xf>
    <xf numFmtId="179" fontId="12" fillId="0" borderId="12" xfId="0" applyNumberFormat="1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2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13" fillId="0" borderId="36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="80" zoomScaleSheetLayoutView="80" zoomScalePageLayoutView="0" workbookViewId="0" topLeftCell="A1">
      <selection activeCell="E4" sqref="E4"/>
    </sheetView>
  </sheetViews>
  <sheetFormatPr defaultColWidth="9.140625" defaultRowHeight="12.75"/>
  <cols>
    <col min="1" max="1" width="32.421875" style="0" customWidth="1"/>
    <col min="2" max="2" width="47.421875" style="0" customWidth="1"/>
    <col min="3" max="3" width="18.57421875" style="0" customWidth="1"/>
    <col min="4" max="4" width="15.00390625" style="0" customWidth="1"/>
    <col min="5" max="5" width="11.8515625" style="0" customWidth="1"/>
  </cols>
  <sheetData>
    <row r="1" spans="4:5" ht="15.75">
      <c r="D1" s="352"/>
      <c r="E1" s="40" t="s">
        <v>182</v>
      </c>
    </row>
    <row r="2" spans="4:5" ht="15.75">
      <c r="D2" s="40"/>
      <c r="E2" s="40" t="s">
        <v>113</v>
      </c>
    </row>
    <row r="3" spans="4:5" ht="18.75" customHeight="1">
      <c r="D3" s="40"/>
      <c r="E3" s="40" t="s">
        <v>1458</v>
      </c>
    </row>
    <row r="4" spans="3:5" ht="18.75" customHeight="1">
      <c r="C4" s="2"/>
      <c r="D4" s="40"/>
      <c r="E4" s="352"/>
    </row>
    <row r="5" spans="1:5" ht="35.25" customHeight="1">
      <c r="A5" s="508" t="s">
        <v>1272</v>
      </c>
      <c r="B5" s="508"/>
      <c r="C5" s="508"/>
      <c r="D5" s="508"/>
      <c r="E5" s="508"/>
    </row>
    <row r="6" spans="1:7" ht="18" customHeight="1">
      <c r="A6" s="507" t="s">
        <v>335</v>
      </c>
      <c r="B6" s="507"/>
      <c r="C6" s="507"/>
      <c r="D6" s="106"/>
      <c r="E6" s="36"/>
      <c r="F6" s="36"/>
      <c r="G6" s="36"/>
    </row>
    <row r="7" spans="2:5" ht="16.5" thickBot="1">
      <c r="B7" s="4"/>
      <c r="C7" s="15"/>
      <c r="D7" s="15"/>
      <c r="E7" s="152" t="s">
        <v>696</v>
      </c>
    </row>
    <row r="8" spans="1:5" s="84" customFormat="1" ht="63.75" thickBot="1">
      <c r="A8" s="75" t="s">
        <v>50</v>
      </c>
      <c r="B8" s="74" t="s">
        <v>51</v>
      </c>
      <c r="C8" s="75" t="s">
        <v>176</v>
      </c>
      <c r="D8" s="75" t="s">
        <v>326</v>
      </c>
      <c r="E8" s="75" t="s">
        <v>327</v>
      </c>
    </row>
    <row r="9" spans="1:5" s="84" customFormat="1" ht="16.5" thickBot="1">
      <c r="A9" s="39">
        <v>1</v>
      </c>
      <c r="B9" s="38">
        <v>2</v>
      </c>
      <c r="C9" s="38">
        <v>3</v>
      </c>
      <c r="D9" s="26">
        <v>4</v>
      </c>
      <c r="E9" s="26">
        <v>5</v>
      </c>
    </row>
    <row r="10" spans="1:5" s="84" customFormat="1" ht="95.25" thickBot="1">
      <c r="A10" s="39" t="s">
        <v>52</v>
      </c>
      <c r="B10" s="85" t="s">
        <v>271</v>
      </c>
      <c r="C10" s="111">
        <v>100</v>
      </c>
      <c r="D10" s="38"/>
      <c r="E10" s="38"/>
    </row>
    <row r="11" spans="1:5" s="84" customFormat="1" ht="48" thickBot="1">
      <c r="A11" s="39" t="s">
        <v>272</v>
      </c>
      <c r="B11" s="85" t="s">
        <v>175</v>
      </c>
      <c r="C11" s="111">
        <v>100</v>
      </c>
      <c r="D11" s="38"/>
      <c r="E11" s="38"/>
    </row>
    <row r="12" spans="1:5" ht="37.5" customHeight="1" thickBot="1">
      <c r="A12" s="29" t="s">
        <v>331</v>
      </c>
      <c r="B12" s="28" t="s">
        <v>63</v>
      </c>
      <c r="C12" s="105">
        <v>100</v>
      </c>
      <c r="D12" s="37"/>
      <c r="E12" s="109"/>
    </row>
    <row r="13" spans="1:5" ht="30.75" customHeight="1" thickBot="1">
      <c r="A13" s="29" t="s">
        <v>336</v>
      </c>
      <c r="B13" s="28" t="s">
        <v>339</v>
      </c>
      <c r="C13" s="105"/>
      <c r="D13" s="37"/>
      <c r="E13" s="110">
        <v>100</v>
      </c>
    </row>
    <row r="14" spans="1:5" ht="67.5" customHeight="1" thickBot="1">
      <c r="A14" s="26" t="s">
        <v>334</v>
      </c>
      <c r="B14" s="108" t="s">
        <v>54</v>
      </c>
      <c r="C14" s="105">
        <v>100</v>
      </c>
      <c r="D14" s="37"/>
      <c r="E14" s="109"/>
    </row>
    <row r="15" spans="1:5" ht="37.5" customHeight="1" thickBot="1">
      <c r="A15" s="26" t="s">
        <v>332</v>
      </c>
      <c r="B15" s="108" t="s">
        <v>16</v>
      </c>
      <c r="C15" s="105">
        <v>100</v>
      </c>
      <c r="D15" s="37"/>
      <c r="E15" s="109"/>
    </row>
    <row r="16" spans="1:5" ht="33" customHeight="1" thickBot="1">
      <c r="A16" s="26" t="s">
        <v>337</v>
      </c>
      <c r="B16" s="108" t="s">
        <v>338</v>
      </c>
      <c r="C16" s="105"/>
      <c r="D16" s="37"/>
      <c r="E16" s="110">
        <v>100</v>
      </c>
    </row>
    <row r="17" spans="1:5" ht="33" customHeight="1" thickBot="1">
      <c r="A17" s="26" t="s">
        <v>693</v>
      </c>
      <c r="B17" s="108" t="s">
        <v>692</v>
      </c>
      <c r="C17" s="105"/>
      <c r="D17" s="37">
        <v>100</v>
      </c>
      <c r="E17" s="110"/>
    </row>
    <row r="18" spans="1:5" ht="36" customHeight="1" thickBot="1">
      <c r="A18" s="26" t="s">
        <v>333</v>
      </c>
      <c r="B18" s="108" t="s">
        <v>49</v>
      </c>
      <c r="C18" s="105">
        <v>100</v>
      </c>
      <c r="D18" s="37"/>
      <c r="E18" s="109"/>
    </row>
    <row r="19" spans="2:4" ht="81.75" customHeight="1">
      <c r="B19" s="80"/>
      <c r="C19" s="77"/>
      <c r="D19" s="77"/>
    </row>
    <row r="20" spans="2:4" ht="83.25" customHeight="1">
      <c r="B20" s="80"/>
      <c r="C20" s="77"/>
      <c r="D20" s="77"/>
    </row>
    <row r="21" spans="2:4" ht="15.75">
      <c r="B21" s="80"/>
      <c r="C21" s="77"/>
      <c r="D21" s="77"/>
    </row>
    <row r="22" spans="2:4" ht="49.5" customHeight="1">
      <c r="B22" s="80"/>
      <c r="C22" s="77"/>
      <c r="D22" s="77"/>
    </row>
    <row r="23" spans="2:4" ht="95.25" customHeight="1">
      <c r="B23" s="80"/>
      <c r="C23" s="77"/>
      <c r="D23" s="77"/>
    </row>
    <row r="24" spans="2:4" ht="69" customHeight="1">
      <c r="B24" s="80"/>
      <c r="C24" s="77"/>
      <c r="D24" s="77"/>
    </row>
    <row r="25" spans="2:4" ht="34.5" customHeight="1">
      <c r="B25" s="80"/>
      <c r="C25" s="77"/>
      <c r="D25" s="77"/>
    </row>
    <row r="26" spans="2:4" ht="37.5" customHeight="1">
      <c r="B26" s="80"/>
      <c r="C26" s="77"/>
      <c r="D26" s="77"/>
    </row>
    <row r="27" spans="2:4" ht="37.5" customHeight="1">
      <c r="B27" s="80"/>
      <c r="C27" s="77"/>
      <c r="D27" s="77"/>
    </row>
    <row r="28" spans="2:4" ht="36" customHeight="1">
      <c r="B28" s="80"/>
      <c r="C28" s="77"/>
      <c r="D28" s="77"/>
    </row>
    <row r="29" spans="2:4" ht="81" customHeight="1">
      <c r="B29" s="80"/>
      <c r="C29" s="77"/>
      <c r="D29" s="77"/>
    </row>
    <row r="30" spans="2:4" ht="82.5" customHeight="1">
      <c r="B30" s="80"/>
      <c r="C30" s="77"/>
      <c r="D30" s="77"/>
    </row>
    <row r="31" spans="2:4" ht="84" customHeight="1">
      <c r="B31" s="80"/>
      <c r="C31" s="77"/>
      <c r="D31" s="77"/>
    </row>
    <row r="32" spans="2:4" ht="99" customHeight="1">
      <c r="B32" s="80"/>
      <c r="C32" s="77"/>
      <c r="D32" s="77"/>
    </row>
    <row r="33" spans="2:4" ht="114" customHeight="1">
      <c r="B33" s="78"/>
      <c r="C33" s="77"/>
      <c r="D33" s="77"/>
    </row>
    <row r="34" spans="2:4" ht="81" customHeight="1">
      <c r="B34" s="78"/>
      <c r="C34" s="77"/>
      <c r="D34" s="77"/>
    </row>
    <row r="35" spans="2:4" ht="81" customHeight="1">
      <c r="B35" s="80"/>
      <c r="C35" s="77"/>
      <c r="D35" s="77"/>
    </row>
    <row r="36" spans="2:4" ht="51.75" customHeight="1">
      <c r="B36" s="80"/>
      <c r="C36" s="77"/>
      <c r="D36" s="77"/>
    </row>
    <row r="37" spans="2:4" ht="66.75" customHeight="1">
      <c r="B37" s="81"/>
      <c r="C37" s="77"/>
      <c r="D37" s="77"/>
    </row>
    <row r="38" spans="2:4" ht="66" customHeight="1">
      <c r="B38" s="80"/>
      <c r="C38" s="77"/>
      <c r="D38" s="77"/>
    </row>
    <row r="39" spans="2:4" ht="49.5" customHeight="1" hidden="1" thickBot="1">
      <c r="B39" s="80"/>
      <c r="C39" s="77"/>
      <c r="D39" s="77"/>
    </row>
    <row r="40" spans="2:4" ht="15.75">
      <c r="B40" s="80"/>
      <c r="C40" s="77"/>
      <c r="D40" s="77"/>
    </row>
    <row r="41" spans="2:4" ht="15.75">
      <c r="B41" s="78"/>
      <c r="C41" s="77"/>
      <c r="D41" s="77"/>
    </row>
    <row r="42" spans="2:4" ht="84" customHeight="1">
      <c r="B42" s="82"/>
      <c r="C42" s="77"/>
      <c r="D42" s="77"/>
    </row>
    <row r="43" spans="2:4" ht="15.75">
      <c r="B43" s="82"/>
      <c r="C43" s="77"/>
      <c r="D43" s="77"/>
    </row>
    <row r="44" spans="2:4" ht="15.75">
      <c r="B44" s="78"/>
      <c r="C44" s="77"/>
      <c r="D44" s="77"/>
    </row>
    <row r="45" spans="2:4" ht="15.75">
      <c r="B45" s="78"/>
      <c r="C45" s="77"/>
      <c r="D45" s="77"/>
    </row>
    <row r="46" spans="2:4" ht="15.75">
      <c r="B46" s="78"/>
      <c r="C46" s="77"/>
      <c r="D46" s="77"/>
    </row>
    <row r="47" spans="2:4" ht="15.75" hidden="1">
      <c r="B47" s="83"/>
      <c r="C47" s="77"/>
      <c r="D47" s="77"/>
    </row>
    <row r="48" spans="2:4" ht="65.25" customHeight="1" hidden="1" thickBot="1">
      <c r="B48" s="78"/>
      <c r="C48" s="77"/>
      <c r="D48" s="77"/>
    </row>
    <row r="49" spans="2:4" ht="65.25" customHeight="1" hidden="1" thickBot="1">
      <c r="B49" s="80"/>
      <c r="C49" s="77"/>
      <c r="D49" s="77"/>
    </row>
    <row r="50" spans="2:4" ht="36" customHeight="1" hidden="1" thickBot="1">
      <c r="B50" s="80"/>
      <c r="C50" s="77"/>
      <c r="D50" s="77"/>
    </row>
    <row r="51" spans="2:4" ht="36" customHeight="1" hidden="1" thickBot="1">
      <c r="B51" s="78"/>
      <c r="C51" s="77"/>
      <c r="D51" s="77"/>
    </row>
    <row r="52" spans="2:4" ht="54.75" customHeight="1" hidden="1" thickBot="1">
      <c r="B52" s="79"/>
      <c r="C52" s="77"/>
      <c r="D52" s="77"/>
    </row>
    <row r="53" spans="2:4" ht="66.75" customHeight="1" hidden="1" thickBot="1">
      <c r="B53" s="78"/>
      <c r="C53" s="77"/>
      <c r="D53" s="77"/>
    </row>
    <row r="54" spans="2:4" ht="67.5" customHeight="1" hidden="1" thickBot="1">
      <c r="B54" s="80"/>
      <c r="C54" s="77"/>
      <c r="D54" s="77"/>
    </row>
    <row r="55" spans="2:4" ht="35.25" customHeight="1" hidden="1" thickBot="1">
      <c r="B55" s="80"/>
      <c r="C55" s="77"/>
      <c r="D55" s="77"/>
    </row>
    <row r="56" spans="2:4" ht="37.5" customHeight="1" hidden="1" thickBot="1">
      <c r="B56" s="78"/>
      <c r="C56" s="77"/>
      <c r="D56" s="77"/>
    </row>
    <row r="57" spans="2:4" ht="51.75" customHeight="1">
      <c r="B57" s="79"/>
      <c r="C57" s="77"/>
      <c r="D57" s="77"/>
    </row>
    <row r="58" spans="2:4" ht="66" customHeight="1">
      <c r="B58" s="78"/>
      <c r="C58" s="77"/>
      <c r="D58" s="77"/>
    </row>
    <row r="59" spans="2:4" ht="66" customHeight="1">
      <c r="B59" s="80"/>
      <c r="C59" s="77"/>
      <c r="D59" s="77"/>
    </row>
    <row r="60" spans="2:4" ht="33.75" customHeight="1">
      <c r="B60" s="80"/>
      <c r="C60" s="77"/>
      <c r="D60" s="77"/>
    </row>
    <row r="61" spans="2:4" ht="35.25" customHeight="1">
      <c r="B61" s="78"/>
      <c r="C61" s="77"/>
      <c r="D61" s="77"/>
    </row>
    <row r="62" spans="2:4" ht="35.25" customHeight="1">
      <c r="B62" s="79"/>
      <c r="C62" s="77"/>
      <c r="D62" s="77"/>
    </row>
    <row r="63" spans="2:4" ht="36" customHeight="1">
      <c r="B63" s="78"/>
      <c r="C63" s="77"/>
      <c r="D63" s="77"/>
    </row>
    <row r="64" spans="2:4" ht="66" customHeight="1">
      <c r="B64" s="80"/>
      <c r="C64" s="77"/>
      <c r="D64" s="77"/>
    </row>
    <row r="65" spans="2:4" ht="33.75" customHeight="1">
      <c r="B65" s="76"/>
      <c r="C65" s="77"/>
      <c r="D65" s="77"/>
    </row>
    <row r="66" spans="2:4" ht="34.5" customHeight="1">
      <c r="B66" s="78"/>
      <c r="C66" s="77"/>
      <c r="D66" s="77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</sheetData>
  <sheetProtection/>
  <mergeCells count="2">
    <mergeCell ref="A6:C6"/>
    <mergeCell ref="A5:E5"/>
  </mergeCells>
  <printOptions/>
  <pageMargins left="0.78" right="0.62" top="0.39" bottom="0.37" header="0.24" footer="0.2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SheetLayoutView="80" zoomScalePageLayoutView="0" workbookViewId="0" topLeftCell="A25">
      <selection activeCell="A39" sqref="A39:H39"/>
    </sheetView>
  </sheetViews>
  <sheetFormatPr defaultColWidth="9.140625" defaultRowHeight="12.75"/>
  <cols>
    <col min="1" max="1" width="9.140625" style="41" customWidth="1"/>
    <col min="2" max="2" width="21.7109375" style="41" customWidth="1"/>
    <col min="3" max="3" width="10.7109375" style="41" customWidth="1"/>
    <col min="4" max="4" width="12.8515625" style="41" customWidth="1"/>
    <col min="5" max="5" width="10.00390625" style="41" customWidth="1"/>
    <col min="6" max="6" width="14.00390625" style="41" customWidth="1"/>
    <col min="7" max="7" width="13.7109375" style="41" customWidth="1"/>
    <col min="8" max="8" width="14.00390625" style="41" customWidth="1"/>
    <col min="9" max="9" width="9.140625" style="41" customWidth="1"/>
    <col min="10" max="10" width="14.57421875" style="41" bestFit="1" customWidth="1"/>
    <col min="11" max="16384" width="9.140625" style="41" customWidth="1"/>
  </cols>
  <sheetData>
    <row r="1" spans="1:8" ht="15.75">
      <c r="A1" s="4"/>
      <c r="B1" s="4"/>
      <c r="D1" s="36"/>
      <c r="E1" s="36"/>
      <c r="G1" s="36"/>
      <c r="H1" s="40" t="s">
        <v>15</v>
      </c>
    </row>
    <row r="2" spans="1:8" ht="15.75">
      <c r="A2" s="4"/>
      <c r="B2" s="4"/>
      <c r="E2" s="36"/>
      <c r="F2" s="36"/>
      <c r="G2" s="36"/>
      <c r="H2" s="40" t="s">
        <v>113</v>
      </c>
    </row>
    <row r="3" spans="1:8" ht="15.75">
      <c r="A3" s="4"/>
      <c r="B3" s="4"/>
      <c r="C3" s="42"/>
      <c r="E3" s="36"/>
      <c r="F3" s="36"/>
      <c r="G3" s="36" t="s">
        <v>1458</v>
      </c>
      <c r="H3" s="40"/>
    </row>
    <row r="4" spans="1:6" ht="15.75">
      <c r="A4" s="4"/>
      <c r="B4" s="4"/>
      <c r="C4" s="42"/>
      <c r="D4" s="40"/>
      <c r="E4" s="40"/>
      <c r="F4" s="40"/>
    </row>
    <row r="5" spans="1:8" ht="15.75">
      <c r="A5" s="4"/>
      <c r="B5" s="4"/>
      <c r="C5" s="1"/>
      <c r="D5" s="2"/>
      <c r="E5" s="2"/>
      <c r="H5" s="40" t="s">
        <v>641</v>
      </c>
    </row>
    <row r="6" spans="1:8" ht="54" customHeight="1" thickBot="1">
      <c r="A6" s="547" t="s">
        <v>1493</v>
      </c>
      <c r="B6" s="547"/>
      <c r="C6" s="547"/>
      <c r="D6" s="547"/>
      <c r="E6" s="547"/>
      <c r="F6" s="547"/>
      <c r="G6" s="547"/>
      <c r="H6" s="547"/>
    </row>
    <row r="7" spans="1:8" ht="52.5" customHeight="1" thickBot="1">
      <c r="A7" s="548" t="s">
        <v>234</v>
      </c>
      <c r="B7" s="548" t="s">
        <v>235</v>
      </c>
      <c r="C7" s="548" t="s">
        <v>289</v>
      </c>
      <c r="D7" s="548" t="s">
        <v>313</v>
      </c>
      <c r="E7" s="548" t="s">
        <v>319</v>
      </c>
      <c r="F7" s="550" t="s">
        <v>223</v>
      </c>
      <c r="G7" s="551"/>
      <c r="H7" s="552"/>
    </row>
    <row r="8" spans="1:8" ht="16.5" thickBot="1">
      <c r="A8" s="549"/>
      <c r="B8" s="549"/>
      <c r="C8" s="549"/>
      <c r="D8" s="549"/>
      <c r="E8" s="549"/>
      <c r="F8" s="26" t="s">
        <v>643</v>
      </c>
      <c r="G8" s="26" t="s">
        <v>644</v>
      </c>
      <c r="H8" s="26" t="s">
        <v>645</v>
      </c>
    </row>
    <row r="9" spans="1:8" ht="13.5" thickBot="1">
      <c r="A9" s="43" t="s">
        <v>114</v>
      </c>
      <c r="B9" s="544" t="s">
        <v>190</v>
      </c>
      <c r="C9" s="545"/>
      <c r="D9" s="545"/>
      <c r="E9" s="545"/>
      <c r="F9" s="545"/>
      <c r="G9" s="545"/>
      <c r="H9" s="546"/>
    </row>
    <row r="10" spans="1:8" ht="16.5" thickBot="1">
      <c r="A10" s="37">
        <v>1</v>
      </c>
      <c r="B10" s="44" t="s">
        <v>191</v>
      </c>
      <c r="C10" s="45" t="s">
        <v>268</v>
      </c>
      <c r="D10" s="37">
        <v>3190051200</v>
      </c>
      <c r="E10" s="45" t="s">
        <v>620</v>
      </c>
      <c r="F10" s="47">
        <v>620</v>
      </c>
      <c r="G10" s="47">
        <v>665</v>
      </c>
      <c r="H10" s="47">
        <v>2885</v>
      </c>
    </row>
    <row r="11" spans="1:8" ht="16.5" thickBot="1">
      <c r="A11" s="37">
        <v>2</v>
      </c>
      <c r="B11" s="44" t="s">
        <v>192</v>
      </c>
      <c r="C11" s="45" t="s">
        <v>268</v>
      </c>
      <c r="D11" s="37">
        <v>3190051200</v>
      </c>
      <c r="E11" s="45" t="s">
        <v>620</v>
      </c>
      <c r="F11" s="47">
        <v>1111</v>
      </c>
      <c r="G11" s="47">
        <v>1189</v>
      </c>
      <c r="H11" s="47">
        <v>5173</v>
      </c>
    </row>
    <row r="12" spans="1:8" ht="16.5" thickBot="1">
      <c r="A12" s="37">
        <v>3</v>
      </c>
      <c r="B12" s="44" t="s">
        <v>193</v>
      </c>
      <c r="C12" s="45" t="s">
        <v>268</v>
      </c>
      <c r="D12" s="37">
        <v>3190051200</v>
      </c>
      <c r="E12" s="45" t="s">
        <v>620</v>
      </c>
      <c r="F12" s="47">
        <v>748</v>
      </c>
      <c r="G12" s="47">
        <v>801</v>
      </c>
      <c r="H12" s="47">
        <v>3502</v>
      </c>
    </row>
    <row r="13" spans="1:8" ht="16.5" thickBot="1">
      <c r="A13" s="37">
        <v>4</v>
      </c>
      <c r="B13" s="44" t="s">
        <v>194</v>
      </c>
      <c r="C13" s="45" t="s">
        <v>268</v>
      </c>
      <c r="D13" s="37">
        <v>3190051200</v>
      </c>
      <c r="E13" s="45" t="s">
        <v>620</v>
      </c>
      <c r="F13" s="47">
        <v>1515</v>
      </c>
      <c r="G13" s="47">
        <v>1622</v>
      </c>
      <c r="H13" s="47">
        <v>6974</v>
      </c>
    </row>
    <row r="14" spans="1:8" ht="16.5" thickBot="1">
      <c r="A14" s="37">
        <v>5</v>
      </c>
      <c r="B14" s="46" t="s">
        <v>195</v>
      </c>
      <c r="C14" s="45" t="s">
        <v>268</v>
      </c>
      <c r="D14" s="37">
        <v>3190051200</v>
      </c>
      <c r="E14" s="45" t="s">
        <v>620</v>
      </c>
      <c r="F14" s="47">
        <v>1670</v>
      </c>
      <c r="G14" s="47">
        <v>1782</v>
      </c>
      <c r="H14" s="47">
        <v>7673</v>
      </c>
    </row>
    <row r="15" spans="1:8" ht="16.5" thickBot="1">
      <c r="A15" s="37">
        <v>6</v>
      </c>
      <c r="B15" s="44" t="s">
        <v>196</v>
      </c>
      <c r="C15" s="45" t="s">
        <v>268</v>
      </c>
      <c r="D15" s="37">
        <v>3190051200</v>
      </c>
      <c r="E15" s="45" t="s">
        <v>620</v>
      </c>
      <c r="F15" s="47">
        <v>1237</v>
      </c>
      <c r="G15" s="47">
        <v>1325</v>
      </c>
      <c r="H15" s="47">
        <v>6234</v>
      </c>
    </row>
    <row r="16" spans="1:8" ht="16.5" thickBot="1">
      <c r="A16" s="37">
        <v>7</v>
      </c>
      <c r="B16" s="44" t="s">
        <v>197</v>
      </c>
      <c r="C16" s="45" t="s">
        <v>268</v>
      </c>
      <c r="D16" s="37">
        <v>3190051200</v>
      </c>
      <c r="E16" s="45" t="s">
        <v>620</v>
      </c>
      <c r="F16" s="47">
        <v>535</v>
      </c>
      <c r="G16" s="47">
        <v>573</v>
      </c>
      <c r="H16" s="47">
        <v>2504</v>
      </c>
    </row>
    <row r="17" spans="1:8" ht="16.5" thickBot="1">
      <c r="A17" s="37">
        <v>8</v>
      </c>
      <c r="B17" s="44" t="s">
        <v>198</v>
      </c>
      <c r="C17" s="45" t="s">
        <v>268</v>
      </c>
      <c r="D17" s="37">
        <v>3190051200</v>
      </c>
      <c r="E17" s="45" t="s">
        <v>620</v>
      </c>
      <c r="F17" s="47">
        <v>1670</v>
      </c>
      <c r="G17" s="47">
        <v>1782</v>
      </c>
      <c r="H17" s="47">
        <v>7469</v>
      </c>
    </row>
    <row r="18" spans="1:8" ht="16.5" thickBot="1">
      <c r="A18" s="44"/>
      <c r="B18" s="355" t="s">
        <v>199</v>
      </c>
      <c r="C18" s="356"/>
      <c r="D18" s="357"/>
      <c r="E18" s="356"/>
      <c r="F18" s="358">
        <f>SUM(F10:F17)</f>
        <v>9106</v>
      </c>
      <c r="G18" s="358">
        <f>SUM(G10:G17)</f>
        <v>9739</v>
      </c>
      <c r="H18" s="358">
        <f>SUM(H10:H17)</f>
        <v>42414</v>
      </c>
    </row>
    <row r="20" spans="1:7" s="150" customFormat="1" ht="15.75">
      <c r="A20" s="147"/>
      <c r="B20" s="147"/>
      <c r="C20" s="148"/>
      <c r="D20" s="149"/>
      <c r="E20" s="149"/>
      <c r="G20" s="151"/>
    </row>
    <row r="21" spans="1:8" s="150" customFormat="1" ht="32.25" customHeight="1">
      <c r="A21" s="4"/>
      <c r="B21" s="4"/>
      <c r="C21" s="1"/>
      <c r="D21" s="2"/>
      <c r="E21" s="2"/>
      <c r="F21" s="41"/>
      <c r="G21" s="41"/>
      <c r="H21" s="40" t="s">
        <v>741</v>
      </c>
    </row>
    <row r="22" spans="1:8" s="150" customFormat="1" ht="72.75" customHeight="1" thickBot="1">
      <c r="A22" s="547" t="s">
        <v>1309</v>
      </c>
      <c r="B22" s="547"/>
      <c r="C22" s="547"/>
      <c r="D22" s="547"/>
      <c r="E22" s="547"/>
      <c r="F22" s="547"/>
      <c r="G22" s="547"/>
      <c r="H22" s="547"/>
    </row>
    <row r="23" spans="1:8" s="150" customFormat="1" ht="16.5" customHeight="1">
      <c r="A23" s="548" t="s">
        <v>234</v>
      </c>
      <c r="B23" s="548" t="s">
        <v>235</v>
      </c>
      <c r="C23" s="548" t="s">
        <v>289</v>
      </c>
      <c r="D23" s="548" t="s">
        <v>313</v>
      </c>
      <c r="E23" s="548" t="s">
        <v>319</v>
      </c>
      <c r="F23" s="202" t="s">
        <v>643</v>
      </c>
      <c r="G23" s="548" t="s">
        <v>644</v>
      </c>
      <c r="H23" s="548" t="s">
        <v>645</v>
      </c>
    </row>
    <row r="24" spans="1:8" s="150" customFormat="1" ht="15" customHeight="1" thickBot="1">
      <c r="A24" s="549"/>
      <c r="B24" s="549"/>
      <c r="C24" s="549"/>
      <c r="D24" s="549"/>
      <c r="E24" s="549"/>
      <c r="F24" s="39"/>
      <c r="G24" s="549"/>
      <c r="H24" s="549"/>
    </row>
    <row r="25" spans="1:8" s="150" customFormat="1" ht="13.5" thickBot="1">
      <c r="A25" s="43" t="s">
        <v>154</v>
      </c>
      <c r="B25" s="544" t="s">
        <v>155</v>
      </c>
      <c r="C25" s="545"/>
      <c r="D25" s="545"/>
      <c r="E25" s="545"/>
      <c r="F25" s="545"/>
      <c r="G25" s="545"/>
      <c r="H25" s="546"/>
    </row>
    <row r="26" spans="1:8" s="150" customFormat="1" ht="16.5" thickBot="1">
      <c r="A26" s="37">
        <v>1</v>
      </c>
      <c r="B26" s="44" t="s">
        <v>191</v>
      </c>
      <c r="C26" s="45" t="s">
        <v>649</v>
      </c>
      <c r="D26" s="45" t="s">
        <v>749</v>
      </c>
      <c r="E26" s="45" t="s">
        <v>742</v>
      </c>
      <c r="F26" s="295">
        <v>94723.52</v>
      </c>
      <c r="G26" s="47"/>
      <c r="H26" s="47"/>
    </row>
    <row r="27" spans="1:8" s="150" customFormat="1" ht="16.5" thickBot="1">
      <c r="A27" s="37">
        <v>2</v>
      </c>
      <c r="B27" s="44" t="s">
        <v>192</v>
      </c>
      <c r="C27" s="45" t="s">
        <v>649</v>
      </c>
      <c r="D27" s="45" t="s">
        <v>749</v>
      </c>
      <c r="E27" s="45" t="s">
        <v>742</v>
      </c>
      <c r="F27" s="296">
        <f>163852.6</f>
        <v>163852.6</v>
      </c>
      <c r="G27" s="47"/>
      <c r="H27" s="47"/>
    </row>
    <row r="28" spans="1:8" s="150" customFormat="1" ht="16.5" thickBot="1">
      <c r="A28" s="37">
        <v>3</v>
      </c>
      <c r="B28" s="44" t="s">
        <v>193</v>
      </c>
      <c r="C28" s="45" t="s">
        <v>649</v>
      </c>
      <c r="D28" s="45" t="s">
        <v>749</v>
      </c>
      <c r="E28" s="45" t="s">
        <v>742</v>
      </c>
      <c r="F28" s="296">
        <v>109650.5</v>
      </c>
      <c r="G28" s="47"/>
      <c r="H28" s="47"/>
    </row>
    <row r="29" spans="1:8" s="150" customFormat="1" ht="16.5" thickBot="1">
      <c r="A29" s="37">
        <v>4</v>
      </c>
      <c r="B29" s="44" t="s">
        <v>194</v>
      </c>
      <c r="C29" s="45" t="s">
        <v>649</v>
      </c>
      <c r="D29" s="45" t="s">
        <v>749</v>
      </c>
      <c r="E29" s="45" t="s">
        <v>742</v>
      </c>
      <c r="F29" s="296">
        <v>0</v>
      </c>
      <c r="G29" s="47"/>
      <c r="H29" s="47"/>
    </row>
    <row r="30" spans="1:8" s="150" customFormat="1" ht="16.5" thickBot="1">
      <c r="A30" s="37">
        <v>5</v>
      </c>
      <c r="B30" s="44" t="s">
        <v>196</v>
      </c>
      <c r="C30" s="45" t="s">
        <v>649</v>
      </c>
      <c r="D30" s="45" t="s">
        <v>749</v>
      </c>
      <c r="E30" s="45" t="s">
        <v>742</v>
      </c>
      <c r="F30" s="296">
        <v>94359.91</v>
      </c>
      <c r="G30" s="47"/>
      <c r="H30" s="47"/>
    </row>
    <row r="31" spans="1:8" s="150" customFormat="1" ht="16.5" thickBot="1">
      <c r="A31" s="37">
        <v>6</v>
      </c>
      <c r="B31" s="44" t="s">
        <v>197</v>
      </c>
      <c r="C31" s="45" t="s">
        <v>649</v>
      </c>
      <c r="D31" s="45" t="s">
        <v>749</v>
      </c>
      <c r="E31" s="45" t="s">
        <v>742</v>
      </c>
      <c r="F31" s="296">
        <v>37778.01</v>
      </c>
      <c r="G31" s="47"/>
      <c r="H31" s="47"/>
    </row>
    <row r="32" spans="1:8" s="150" customFormat="1" ht="16.5" thickBot="1">
      <c r="A32" s="37">
        <v>7</v>
      </c>
      <c r="B32" s="44" t="s">
        <v>198</v>
      </c>
      <c r="C32" s="45" t="s">
        <v>649</v>
      </c>
      <c r="D32" s="45" t="s">
        <v>749</v>
      </c>
      <c r="E32" s="45" t="s">
        <v>742</v>
      </c>
      <c r="F32" s="296">
        <v>45465.36</v>
      </c>
      <c r="G32" s="47"/>
      <c r="H32" s="47"/>
    </row>
    <row r="33" spans="1:8" ht="16.5" thickBot="1">
      <c r="A33" s="44"/>
      <c r="B33" s="355" t="s">
        <v>199</v>
      </c>
      <c r="C33" s="356"/>
      <c r="D33" s="357"/>
      <c r="E33" s="356"/>
      <c r="F33" s="360">
        <f>SUM(F26:F32)</f>
        <v>545829.9</v>
      </c>
      <c r="G33" s="358">
        <f>SUM(G26:G32)</f>
        <v>0</v>
      </c>
      <c r="H33" s="358">
        <f>SUM(H26:H32)</f>
        <v>0</v>
      </c>
    </row>
    <row r="34" ht="12.75">
      <c r="F34" s="285"/>
    </row>
    <row r="35" spans="6:7" ht="12.75">
      <c r="F35" s="285"/>
      <c r="G35" s="294"/>
    </row>
    <row r="36" ht="12.75">
      <c r="F36" s="285"/>
    </row>
    <row r="38" spans="1:8" ht="15.75">
      <c r="A38" s="4"/>
      <c r="B38" s="4"/>
      <c r="C38" s="1"/>
      <c r="D38" s="2"/>
      <c r="E38" s="2"/>
      <c r="H38" s="40" t="s">
        <v>760</v>
      </c>
    </row>
    <row r="39" spans="1:8" ht="159.75" customHeight="1" thickBot="1">
      <c r="A39" s="547" t="s">
        <v>1310</v>
      </c>
      <c r="B39" s="547"/>
      <c r="C39" s="547"/>
      <c r="D39" s="547"/>
      <c r="E39" s="547"/>
      <c r="F39" s="547"/>
      <c r="G39" s="547"/>
      <c r="H39" s="547"/>
    </row>
    <row r="40" spans="1:8" ht="12.75" customHeight="1">
      <c r="A40" s="548" t="s">
        <v>234</v>
      </c>
      <c r="B40" s="548" t="s">
        <v>235</v>
      </c>
      <c r="C40" s="548" t="s">
        <v>289</v>
      </c>
      <c r="D40" s="548" t="s">
        <v>313</v>
      </c>
      <c r="E40" s="548" t="s">
        <v>319</v>
      </c>
      <c r="F40" s="202" t="s">
        <v>643</v>
      </c>
      <c r="G40" s="548" t="s">
        <v>644</v>
      </c>
      <c r="H40" s="548" t="s">
        <v>645</v>
      </c>
    </row>
    <row r="41" spans="1:8" ht="20.25" customHeight="1" thickBot="1">
      <c r="A41" s="549"/>
      <c r="B41" s="549"/>
      <c r="C41" s="549"/>
      <c r="D41" s="549"/>
      <c r="E41" s="549"/>
      <c r="F41" s="39"/>
      <c r="G41" s="549"/>
      <c r="H41" s="549"/>
    </row>
    <row r="42" spans="1:8" ht="13.5" thickBot="1">
      <c r="A42" s="43" t="s">
        <v>154</v>
      </c>
      <c r="B42" s="544" t="s">
        <v>155</v>
      </c>
      <c r="C42" s="545"/>
      <c r="D42" s="545"/>
      <c r="E42" s="545"/>
      <c r="F42" s="545"/>
      <c r="G42" s="545"/>
      <c r="H42" s="546"/>
    </row>
    <row r="43" spans="1:8" ht="16.5" thickBot="1">
      <c r="A43" s="37">
        <v>1</v>
      </c>
      <c r="B43" s="44" t="s">
        <v>191</v>
      </c>
      <c r="C43" s="45" t="s">
        <v>100</v>
      </c>
      <c r="D43" s="45" t="s">
        <v>761</v>
      </c>
      <c r="E43" s="45" t="s">
        <v>742</v>
      </c>
      <c r="F43" s="295">
        <v>182062.09</v>
      </c>
      <c r="G43" s="47"/>
      <c r="H43" s="47"/>
    </row>
    <row r="44" spans="1:8" ht="16.5" thickBot="1">
      <c r="A44" s="37">
        <v>2</v>
      </c>
      <c r="B44" s="44" t="s">
        <v>192</v>
      </c>
      <c r="C44" s="45" t="s">
        <v>100</v>
      </c>
      <c r="D44" s="45" t="s">
        <v>761</v>
      </c>
      <c r="E44" s="45" t="s">
        <v>742</v>
      </c>
      <c r="F44" s="296">
        <v>405594.21</v>
      </c>
      <c r="G44" s="47"/>
      <c r="H44" s="47"/>
    </row>
    <row r="45" spans="1:8" ht="16.5" thickBot="1">
      <c r="A45" s="37">
        <v>3</v>
      </c>
      <c r="B45" s="44" t="s">
        <v>193</v>
      </c>
      <c r="C45" s="45" t="s">
        <v>100</v>
      </c>
      <c r="D45" s="45" t="s">
        <v>761</v>
      </c>
      <c r="E45" s="45" t="s">
        <v>742</v>
      </c>
      <c r="F45" s="296">
        <v>375786.18</v>
      </c>
      <c r="G45" s="47"/>
      <c r="H45" s="47"/>
    </row>
    <row r="46" spans="1:8" ht="16.5" thickBot="1">
      <c r="A46" s="37">
        <v>4</v>
      </c>
      <c r="B46" s="44" t="s">
        <v>194</v>
      </c>
      <c r="C46" s="45" t="s">
        <v>100</v>
      </c>
      <c r="D46" s="45" t="s">
        <v>761</v>
      </c>
      <c r="E46" s="45" t="s">
        <v>742</v>
      </c>
      <c r="F46" s="296">
        <v>241453.6</v>
      </c>
      <c r="G46" s="47"/>
      <c r="H46" s="47"/>
    </row>
    <row r="47" spans="1:8" ht="16.5" thickBot="1">
      <c r="A47" s="37">
        <v>5</v>
      </c>
      <c r="B47" s="44" t="s">
        <v>196</v>
      </c>
      <c r="C47" s="45" t="s">
        <v>100</v>
      </c>
      <c r="D47" s="45" t="s">
        <v>761</v>
      </c>
      <c r="E47" s="45" t="s">
        <v>742</v>
      </c>
      <c r="F47" s="296">
        <v>276061.22</v>
      </c>
      <c r="G47" s="47"/>
      <c r="H47" s="47"/>
    </row>
    <row r="48" spans="1:8" ht="16.5" thickBot="1">
      <c r="A48" s="37">
        <v>6</v>
      </c>
      <c r="B48" s="44" t="s">
        <v>197</v>
      </c>
      <c r="C48" s="45" t="s">
        <v>100</v>
      </c>
      <c r="D48" s="45" t="s">
        <v>761</v>
      </c>
      <c r="E48" s="45" t="s">
        <v>742</v>
      </c>
      <c r="F48" s="296">
        <v>225553.18</v>
      </c>
      <c r="G48" s="47"/>
      <c r="H48" s="47"/>
    </row>
    <row r="49" spans="1:8" ht="16.5" thickBot="1">
      <c r="A49" s="37">
        <v>7</v>
      </c>
      <c r="B49" s="44" t="s">
        <v>198</v>
      </c>
      <c r="C49" s="45" t="s">
        <v>100</v>
      </c>
      <c r="D49" s="45" t="s">
        <v>761</v>
      </c>
      <c r="E49" s="45" t="s">
        <v>742</v>
      </c>
      <c r="F49" s="296">
        <v>234843.62</v>
      </c>
      <c r="G49" s="47"/>
      <c r="H49" s="47"/>
    </row>
    <row r="50" spans="1:8" ht="16.5" thickBot="1">
      <c r="A50" s="44"/>
      <c r="B50" s="355" t="s">
        <v>199</v>
      </c>
      <c r="C50" s="356"/>
      <c r="D50" s="357"/>
      <c r="E50" s="356"/>
      <c r="F50" s="359">
        <f>SUM(F43:F49)</f>
        <v>1941354.1</v>
      </c>
      <c r="G50" s="358">
        <f>SUM(G43:G49)</f>
        <v>0</v>
      </c>
      <c r="H50" s="358">
        <f>SUM(H43:H49)</f>
        <v>0</v>
      </c>
    </row>
    <row r="53" spans="1:8" ht="15.75">
      <c r="A53" s="4"/>
      <c r="B53" s="4"/>
      <c r="C53" s="1"/>
      <c r="D53" s="2"/>
      <c r="E53" s="2"/>
      <c r="H53" s="40" t="s">
        <v>762</v>
      </c>
    </row>
    <row r="54" spans="1:8" ht="81.75" customHeight="1" thickBot="1">
      <c r="A54" s="547" t="s">
        <v>1311</v>
      </c>
      <c r="B54" s="547"/>
      <c r="C54" s="547"/>
      <c r="D54" s="547"/>
      <c r="E54" s="547"/>
      <c r="F54" s="547"/>
      <c r="G54" s="547"/>
      <c r="H54" s="547"/>
    </row>
    <row r="55" spans="1:8" ht="12.75" customHeight="1">
      <c r="A55" s="548" t="s">
        <v>234</v>
      </c>
      <c r="B55" s="548" t="s">
        <v>235</v>
      </c>
      <c r="C55" s="548" t="s">
        <v>289</v>
      </c>
      <c r="D55" s="548" t="s">
        <v>313</v>
      </c>
      <c r="E55" s="548" t="s">
        <v>319</v>
      </c>
      <c r="F55" s="202" t="s">
        <v>643</v>
      </c>
      <c r="G55" s="548" t="s">
        <v>644</v>
      </c>
      <c r="H55" s="548" t="s">
        <v>645</v>
      </c>
    </row>
    <row r="56" spans="1:8" ht="21" customHeight="1" thickBot="1">
      <c r="A56" s="549"/>
      <c r="B56" s="549"/>
      <c r="C56" s="549"/>
      <c r="D56" s="549"/>
      <c r="E56" s="549"/>
      <c r="F56" s="39"/>
      <c r="G56" s="549"/>
      <c r="H56" s="549"/>
    </row>
    <row r="57" spans="1:8" ht="13.5" thickBot="1">
      <c r="A57" s="43" t="s">
        <v>154</v>
      </c>
      <c r="B57" s="544" t="s">
        <v>155</v>
      </c>
      <c r="C57" s="545"/>
      <c r="D57" s="545"/>
      <c r="E57" s="545"/>
      <c r="F57" s="545"/>
      <c r="G57" s="545"/>
      <c r="H57" s="546"/>
    </row>
    <row r="58" spans="1:10" ht="16.5" thickBot="1">
      <c r="A58" s="37">
        <v>1</v>
      </c>
      <c r="B58" s="44" t="s">
        <v>191</v>
      </c>
      <c r="C58" s="45" t="s">
        <v>649</v>
      </c>
      <c r="D58" s="45" t="s">
        <v>763</v>
      </c>
      <c r="E58" s="45" t="s">
        <v>742</v>
      </c>
      <c r="F58" s="155">
        <v>133980</v>
      </c>
      <c r="G58" s="47"/>
      <c r="H58" s="47"/>
      <c r="J58" s="285"/>
    </row>
    <row r="59" spans="1:10" ht="16.5" thickBot="1">
      <c r="A59" s="37">
        <v>2</v>
      </c>
      <c r="B59" s="44" t="s">
        <v>192</v>
      </c>
      <c r="C59" s="45" t="s">
        <v>649</v>
      </c>
      <c r="D59" s="45" t="s">
        <v>763</v>
      </c>
      <c r="E59" s="45" t="s">
        <v>742</v>
      </c>
      <c r="F59" s="156">
        <v>74448</v>
      </c>
      <c r="G59" s="47"/>
      <c r="H59" s="47"/>
      <c r="J59" s="285"/>
    </row>
    <row r="60" spans="1:10" ht="16.5" thickBot="1">
      <c r="A60" s="37">
        <v>3</v>
      </c>
      <c r="B60" s="44" t="s">
        <v>193</v>
      </c>
      <c r="C60" s="45" t="s">
        <v>649</v>
      </c>
      <c r="D60" s="45" t="s">
        <v>763</v>
      </c>
      <c r="E60" s="45" t="s">
        <v>742</v>
      </c>
      <c r="F60" s="156">
        <v>228228</v>
      </c>
      <c r="G60" s="47"/>
      <c r="H60" s="47"/>
      <c r="J60" s="285"/>
    </row>
    <row r="61" spans="1:10" ht="16.5" thickBot="1">
      <c r="A61" s="37">
        <v>4</v>
      </c>
      <c r="B61" s="44" t="s">
        <v>194</v>
      </c>
      <c r="C61" s="45" t="s">
        <v>649</v>
      </c>
      <c r="D61" s="45" t="s">
        <v>763</v>
      </c>
      <c r="E61" s="45" t="s">
        <v>742</v>
      </c>
      <c r="F61" s="156">
        <v>124080</v>
      </c>
      <c r="G61" s="47"/>
      <c r="H61" s="47"/>
      <c r="J61" s="285"/>
    </row>
    <row r="62" spans="1:10" ht="16.5" thickBot="1">
      <c r="A62" s="37">
        <v>5</v>
      </c>
      <c r="B62" s="44" t="s">
        <v>196</v>
      </c>
      <c r="C62" s="45" t="s">
        <v>649</v>
      </c>
      <c r="D62" s="45" t="s">
        <v>763</v>
      </c>
      <c r="E62" s="45" t="s">
        <v>742</v>
      </c>
      <c r="F62" s="156">
        <v>401940</v>
      </c>
      <c r="G62" s="47"/>
      <c r="H62" s="47"/>
      <c r="J62" s="285"/>
    </row>
    <row r="63" spans="1:10" ht="16.5" thickBot="1">
      <c r="A63" s="37">
        <v>6</v>
      </c>
      <c r="B63" s="44" t="s">
        <v>197</v>
      </c>
      <c r="C63" s="45" t="s">
        <v>649</v>
      </c>
      <c r="D63" s="45" t="s">
        <v>763</v>
      </c>
      <c r="E63" s="45" t="s">
        <v>742</v>
      </c>
      <c r="F63" s="156">
        <v>109164</v>
      </c>
      <c r="G63" s="47"/>
      <c r="H63" s="47"/>
      <c r="J63" s="285"/>
    </row>
    <row r="64" spans="1:10" ht="16.5" thickBot="1">
      <c r="A64" s="37">
        <v>7</v>
      </c>
      <c r="B64" s="44" t="s">
        <v>198</v>
      </c>
      <c r="C64" s="45" t="s">
        <v>649</v>
      </c>
      <c r="D64" s="45" t="s">
        <v>763</v>
      </c>
      <c r="E64" s="45" t="s">
        <v>742</v>
      </c>
      <c r="F64" s="156">
        <v>248160</v>
      </c>
      <c r="G64" s="47"/>
      <c r="H64" s="47"/>
      <c r="J64" s="285"/>
    </row>
    <row r="65" spans="1:8" ht="16.5" thickBot="1">
      <c r="A65" s="44"/>
      <c r="B65" s="355" t="s">
        <v>199</v>
      </c>
      <c r="C65" s="356"/>
      <c r="D65" s="357"/>
      <c r="E65" s="356"/>
      <c r="F65" s="358">
        <f>SUM(F58:F64)</f>
        <v>1320000</v>
      </c>
      <c r="G65" s="358">
        <f>SUM(G58:G64)</f>
        <v>0</v>
      </c>
      <c r="H65" s="358">
        <f>SUM(H58:H64)</f>
        <v>0</v>
      </c>
    </row>
  </sheetData>
  <sheetProtection/>
  <mergeCells count="35">
    <mergeCell ref="B9:H9"/>
    <mergeCell ref="A6:H6"/>
    <mergeCell ref="A7:A8"/>
    <mergeCell ref="B7:B8"/>
    <mergeCell ref="C7:C8"/>
    <mergeCell ref="D7:D8"/>
    <mergeCell ref="E7:E8"/>
    <mergeCell ref="F7:H7"/>
    <mergeCell ref="B25:H25"/>
    <mergeCell ref="A22:H22"/>
    <mergeCell ref="A23:A24"/>
    <mergeCell ref="B23:B24"/>
    <mergeCell ref="C23:C24"/>
    <mergeCell ref="D23:D24"/>
    <mergeCell ref="E23:E24"/>
    <mergeCell ref="G23:G24"/>
    <mergeCell ref="H23:H24"/>
    <mergeCell ref="A39:H39"/>
    <mergeCell ref="A40:A41"/>
    <mergeCell ref="B40:B41"/>
    <mergeCell ref="C40:C41"/>
    <mergeCell ref="D40:D41"/>
    <mergeCell ref="E40:E41"/>
    <mergeCell ref="G40:G41"/>
    <mergeCell ref="H40:H41"/>
    <mergeCell ref="B57:H57"/>
    <mergeCell ref="B42:H42"/>
    <mergeCell ref="A54:H54"/>
    <mergeCell ref="A55:A56"/>
    <mergeCell ref="B55:B56"/>
    <mergeCell ref="C55:C56"/>
    <mergeCell ref="D55:D56"/>
    <mergeCell ref="E55:E56"/>
    <mergeCell ref="G55:G56"/>
    <mergeCell ref="H55:H56"/>
  </mergeCells>
  <printOptions/>
  <pageMargins left="0.75" right="0.49" top="1" bottom="1" header="0.5" footer="0.5"/>
  <pageSetup fitToHeight="0" fitToWidth="1" horizontalDpi="600" verticalDpi="600" orientation="portrait" paperSize="9" scale="86" r:id="rId1"/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66.421875" style="0" customWidth="1"/>
    <col min="2" max="2" width="21.421875" style="0" customWidth="1"/>
    <col min="3" max="3" width="13.00390625" style="0" customWidth="1"/>
    <col min="4" max="4" width="14.57421875" style="0" customWidth="1"/>
  </cols>
  <sheetData>
    <row r="1" spans="3:4" ht="15.75">
      <c r="C1" s="509" t="s">
        <v>694</v>
      </c>
      <c r="D1" s="509"/>
    </row>
    <row r="2" spans="1:4" ht="15.75">
      <c r="A2" s="509" t="s">
        <v>150</v>
      </c>
      <c r="B2" s="509"/>
      <c r="C2" s="509"/>
      <c r="D2" s="509"/>
    </row>
    <row r="3" spans="2:4" ht="15.75">
      <c r="B3" s="509" t="s">
        <v>1458</v>
      </c>
      <c r="C3" s="509"/>
      <c r="D3" s="509"/>
    </row>
    <row r="4" spans="1:2" ht="15.75">
      <c r="A4" s="3"/>
      <c r="B4" s="4"/>
    </row>
    <row r="5" spans="1:4" ht="37.5" customHeight="1">
      <c r="A5" s="521" t="s">
        <v>1312</v>
      </c>
      <c r="B5" s="521"/>
      <c r="C5" s="521"/>
      <c r="D5" s="521"/>
    </row>
    <row r="6" spans="1:4" ht="16.5" thickBot="1">
      <c r="A6" s="563"/>
      <c r="B6" s="553"/>
      <c r="C6" s="553"/>
      <c r="D6" s="553"/>
    </row>
    <row r="7" spans="1:4" ht="15.75" customHeight="1">
      <c r="A7" s="560" t="s">
        <v>151</v>
      </c>
      <c r="B7" s="554" t="s">
        <v>210</v>
      </c>
      <c r="C7" s="555"/>
      <c r="D7" s="556"/>
    </row>
    <row r="8" spans="1:4" ht="13.5" thickBot="1">
      <c r="A8" s="561"/>
      <c r="B8" s="557"/>
      <c r="C8" s="558"/>
      <c r="D8" s="559"/>
    </row>
    <row r="9" spans="1:4" ht="16.5" thickBot="1">
      <c r="A9" s="562"/>
      <c r="B9" s="125" t="s">
        <v>643</v>
      </c>
      <c r="C9" s="125" t="s">
        <v>644</v>
      </c>
      <c r="D9" s="125" t="s">
        <v>645</v>
      </c>
    </row>
    <row r="10" spans="1:4" ht="38.25" customHeight="1" thickBot="1">
      <c r="A10" s="52" t="s">
        <v>3</v>
      </c>
      <c r="B10" s="126">
        <v>0</v>
      </c>
      <c r="C10" s="126">
        <v>0</v>
      </c>
      <c r="D10" s="126">
        <v>0</v>
      </c>
    </row>
    <row r="11" spans="1:4" ht="32.25" thickBot="1">
      <c r="A11" s="48" t="s">
        <v>301</v>
      </c>
      <c r="B11" s="120">
        <v>0</v>
      </c>
      <c r="C11" s="120">
        <v>0</v>
      </c>
      <c r="D11" s="120">
        <v>0</v>
      </c>
    </row>
    <row r="12" spans="1:4" ht="16.5" thickBot="1">
      <c r="A12" s="48" t="s">
        <v>30</v>
      </c>
      <c r="B12" s="121">
        <v>0</v>
      </c>
      <c r="C12" s="121">
        <v>0</v>
      </c>
      <c r="D12" s="121">
        <v>0</v>
      </c>
    </row>
    <row r="13" spans="1:4" ht="16.5" thickBot="1">
      <c r="A13" s="49" t="s">
        <v>31</v>
      </c>
      <c r="B13" s="121">
        <v>0</v>
      </c>
      <c r="C13" s="121">
        <v>0</v>
      </c>
      <c r="D13" s="121">
        <v>0</v>
      </c>
    </row>
    <row r="14" spans="1:4" ht="16.5" thickBot="1">
      <c r="A14" s="50" t="s">
        <v>32</v>
      </c>
      <c r="B14" s="122">
        <v>0</v>
      </c>
      <c r="C14" s="122">
        <v>0</v>
      </c>
      <c r="D14" s="122">
        <v>0</v>
      </c>
    </row>
    <row r="15" spans="1:4" ht="16.5" thickBot="1">
      <c r="A15" s="119" t="s">
        <v>30</v>
      </c>
      <c r="B15" s="123">
        <v>0</v>
      </c>
      <c r="C15" s="123">
        <v>0</v>
      </c>
      <c r="D15" s="123">
        <v>0</v>
      </c>
    </row>
    <row r="16" spans="1:4" ht="16.5" thickBot="1">
      <c r="A16" s="51" t="s">
        <v>33</v>
      </c>
      <c r="B16" s="122">
        <v>0</v>
      </c>
      <c r="C16" s="122">
        <v>0</v>
      </c>
      <c r="D16" s="122">
        <v>0</v>
      </c>
    </row>
    <row r="17" spans="1:4" ht="32.25" thickBot="1">
      <c r="A17" s="119" t="s">
        <v>34</v>
      </c>
      <c r="B17" s="123">
        <v>0</v>
      </c>
      <c r="C17" s="123">
        <v>0</v>
      </c>
      <c r="D17" s="123">
        <v>0</v>
      </c>
    </row>
    <row r="18" spans="1:4" ht="32.25" thickBot="1">
      <c r="A18" s="48" t="s">
        <v>35</v>
      </c>
      <c r="B18" s="124">
        <v>0</v>
      </c>
      <c r="C18" s="124">
        <v>0</v>
      </c>
      <c r="D18" s="124">
        <v>0</v>
      </c>
    </row>
  </sheetData>
  <sheetProtection/>
  <mergeCells count="8">
    <mergeCell ref="C6:D6"/>
    <mergeCell ref="B7:D8"/>
    <mergeCell ref="A5:D5"/>
    <mergeCell ref="A2:D2"/>
    <mergeCell ref="B3:D3"/>
    <mergeCell ref="C1:D1"/>
    <mergeCell ref="A7:A9"/>
    <mergeCell ref="A6:B6"/>
  </mergeCells>
  <printOptions/>
  <pageMargins left="0.75" right="0.38" top="1" bottom="1" header="0.5" footer="0.5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6"/>
  <sheetViews>
    <sheetView zoomScaleSheetLayoutView="100" zoomScalePageLayoutView="0" workbookViewId="0" topLeftCell="A76">
      <selection activeCell="B13" sqref="B13:K13"/>
    </sheetView>
  </sheetViews>
  <sheetFormatPr defaultColWidth="9.140625" defaultRowHeight="12.75"/>
  <cols>
    <col min="2" max="2" width="7.00390625" style="0" customWidth="1"/>
    <col min="3" max="3" width="9.28125" style="0" customWidth="1"/>
    <col min="4" max="4" width="11.28125" style="0" customWidth="1"/>
    <col min="5" max="5" width="8.8515625" style="0" customWidth="1"/>
    <col min="6" max="8" width="10.28125" style="0" customWidth="1"/>
    <col min="9" max="9" width="11.140625" style="0" customWidth="1"/>
    <col min="10" max="10" width="11.421875" style="0" customWidth="1"/>
    <col min="11" max="11" width="15.421875" style="0" customWidth="1"/>
  </cols>
  <sheetData>
    <row r="1" spans="2:11" ht="15.75">
      <c r="B1" s="53"/>
      <c r="C1" s="53"/>
      <c r="D1" s="53"/>
      <c r="E1" s="53"/>
      <c r="F1" s="509" t="s">
        <v>695</v>
      </c>
      <c r="G1" s="509"/>
      <c r="H1" s="509"/>
      <c r="I1" s="509"/>
      <c r="J1" s="509"/>
      <c r="K1" s="509"/>
    </row>
    <row r="2" spans="2:11" ht="15.75">
      <c r="B2" s="53"/>
      <c r="C2" s="53"/>
      <c r="D2" s="53"/>
      <c r="E2" s="53"/>
      <c r="F2" s="42"/>
      <c r="G2" s="42"/>
      <c r="H2" s="42"/>
      <c r="I2" s="40"/>
      <c r="J2" s="40"/>
      <c r="K2" s="40" t="s">
        <v>150</v>
      </c>
    </row>
    <row r="3" spans="2:11" ht="15.75">
      <c r="B3" s="53"/>
      <c r="C3" s="53"/>
      <c r="D3" s="53"/>
      <c r="E3" s="53"/>
      <c r="F3" s="42"/>
      <c r="G3" s="42"/>
      <c r="H3" s="42"/>
      <c r="I3" s="40"/>
      <c r="J3" s="40"/>
      <c r="K3" s="40" t="s">
        <v>1458</v>
      </c>
    </row>
    <row r="4" spans="2:11" ht="14.25">
      <c r="B4" s="53"/>
      <c r="C4" s="53"/>
      <c r="D4" s="53"/>
      <c r="E4" s="53"/>
      <c r="F4" s="55"/>
      <c r="G4" s="55"/>
      <c r="H4" s="55"/>
      <c r="I4" s="54"/>
      <c r="J4" s="54"/>
      <c r="K4" s="54"/>
    </row>
    <row r="5" spans="2:11" ht="14.25">
      <c r="B5" s="53"/>
      <c r="C5" s="53"/>
      <c r="D5" s="53"/>
      <c r="E5" s="53"/>
      <c r="F5" s="55"/>
      <c r="G5" s="55"/>
      <c r="H5" s="55"/>
      <c r="I5" s="54"/>
      <c r="J5" s="54"/>
      <c r="K5" s="54"/>
    </row>
    <row r="6" spans="2:11" ht="35.25" customHeight="1">
      <c r="B6" s="564" t="s">
        <v>1313</v>
      </c>
      <c r="C6" s="564"/>
      <c r="D6" s="564"/>
      <c r="E6" s="564"/>
      <c r="F6" s="564"/>
      <c r="G6" s="564"/>
      <c r="H6" s="564"/>
      <c r="I6" s="564"/>
      <c r="J6" s="564"/>
      <c r="K6" s="564"/>
    </row>
    <row r="7" spans="2:11" ht="31.5" customHeight="1">
      <c r="B7" s="568" t="s">
        <v>1314</v>
      </c>
      <c r="C7" s="568"/>
      <c r="D7" s="568"/>
      <c r="E7" s="568"/>
      <c r="F7" s="568"/>
      <c r="G7" s="568"/>
      <c r="H7" s="568"/>
      <c r="I7" s="568"/>
      <c r="J7" s="568"/>
      <c r="K7" s="568"/>
    </row>
    <row r="8" spans="2:11" ht="15.75" thickBot="1"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2:11" ht="15.75" customHeight="1" thickBot="1">
      <c r="B9" s="569" t="s">
        <v>234</v>
      </c>
      <c r="C9" s="569" t="s">
        <v>36</v>
      </c>
      <c r="D9" s="569" t="s">
        <v>66</v>
      </c>
      <c r="E9" s="578" t="s">
        <v>565</v>
      </c>
      <c r="F9" s="579"/>
      <c r="G9" s="579"/>
      <c r="H9" s="580"/>
      <c r="I9" s="569" t="s">
        <v>310</v>
      </c>
      <c r="J9" s="569" t="s">
        <v>311</v>
      </c>
      <c r="K9" s="569" t="s">
        <v>312</v>
      </c>
    </row>
    <row r="10" spans="2:11" ht="64.5" customHeight="1" thickBot="1">
      <c r="B10" s="570"/>
      <c r="C10" s="570"/>
      <c r="D10" s="571"/>
      <c r="E10" s="139" t="s">
        <v>642</v>
      </c>
      <c r="F10" s="137" t="s">
        <v>643</v>
      </c>
      <c r="G10" s="137" t="s">
        <v>644</v>
      </c>
      <c r="H10" s="137" t="s">
        <v>645</v>
      </c>
      <c r="I10" s="572"/>
      <c r="J10" s="570"/>
      <c r="K10" s="570"/>
    </row>
    <row r="11" spans="2:11" ht="21" customHeight="1" thickBot="1">
      <c r="B11" s="565" t="s">
        <v>1315</v>
      </c>
      <c r="C11" s="574"/>
      <c r="D11" s="574"/>
      <c r="E11" s="575"/>
      <c r="F11" s="575"/>
      <c r="G11" s="575"/>
      <c r="H11" s="575"/>
      <c r="I11" s="574"/>
      <c r="J11" s="574"/>
      <c r="K11" s="576"/>
    </row>
    <row r="12" spans="2:11" ht="15"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2:11" ht="55.5" customHeight="1">
      <c r="B13" s="568" t="s">
        <v>1316</v>
      </c>
      <c r="C13" s="568"/>
      <c r="D13" s="568"/>
      <c r="E13" s="568"/>
      <c r="F13" s="568"/>
      <c r="G13" s="568"/>
      <c r="H13" s="568"/>
      <c r="I13" s="568"/>
      <c r="J13" s="568"/>
      <c r="K13" s="568"/>
    </row>
    <row r="14" spans="2:11" ht="15.75" thickBot="1"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2:11" ht="51" customHeight="1" thickBot="1">
      <c r="B15" s="577" t="s">
        <v>236</v>
      </c>
      <c r="C15" s="577"/>
      <c r="D15" s="577"/>
      <c r="E15" s="577"/>
      <c r="F15" s="577" t="s">
        <v>563</v>
      </c>
      <c r="G15" s="577"/>
      <c r="H15" s="577"/>
      <c r="I15" s="577"/>
      <c r="J15" s="577"/>
      <c r="K15" s="577"/>
    </row>
    <row r="16" spans="2:11" ht="15.75" customHeight="1" thickBot="1">
      <c r="B16" s="577"/>
      <c r="C16" s="577"/>
      <c r="D16" s="577"/>
      <c r="E16" s="577"/>
      <c r="F16" s="113" t="s">
        <v>643</v>
      </c>
      <c r="G16" s="113" t="s">
        <v>644</v>
      </c>
      <c r="H16" s="113" t="s">
        <v>645</v>
      </c>
      <c r="I16" s="113" t="s">
        <v>884</v>
      </c>
      <c r="J16" s="113" t="s">
        <v>1058</v>
      </c>
      <c r="K16" s="113" t="s">
        <v>1317</v>
      </c>
    </row>
    <row r="17" spans="2:11" ht="49.5" customHeight="1" thickBot="1">
      <c r="B17" s="573" t="s">
        <v>28</v>
      </c>
      <c r="C17" s="573"/>
      <c r="D17" s="573"/>
      <c r="E17" s="573"/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40">
        <v>0</v>
      </c>
    </row>
    <row r="18" spans="2:11" ht="15">
      <c r="B18" s="58"/>
      <c r="C18" s="57"/>
      <c r="D18" s="57"/>
      <c r="E18" s="57"/>
      <c r="F18" s="57"/>
      <c r="G18" s="57"/>
      <c r="H18" s="57"/>
      <c r="I18" s="57"/>
      <c r="J18" s="57"/>
      <c r="K18" s="57"/>
    </row>
    <row r="19" spans="2:11" ht="32.25" customHeight="1">
      <c r="B19" s="564" t="s">
        <v>1318</v>
      </c>
      <c r="C19" s="564"/>
      <c r="D19" s="564"/>
      <c r="E19" s="564"/>
      <c r="F19" s="564"/>
      <c r="G19" s="564"/>
      <c r="H19" s="564"/>
      <c r="I19" s="564"/>
      <c r="J19" s="564"/>
      <c r="K19" s="564"/>
    </row>
    <row r="20" spans="2:11" ht="15.75" thickBot="1">
      <c r="B20" s="59"/>
      <c r="C20" s="19"/>
      <c r="D20" s="19"/>
      <c r="E20" s="19"/>
      <c r="F20" s="19"/>
      <c r="G20" s="19"/>
      <c r="H20" s="19"/>
      <c r="I20" s="19"/>
      <c r="J20" s="19"/>
      <c r="K20" s="35"/>
    </row>
    <row r="21" spans="2:11" ht="15.75" thickBot="1">
      <c r="B21" s="577" t="s">
        <v>151</v>
      </c>
      <c r="C21" s="577"/>
      <c r="D21" s="577"/>
      <c r="E21" s="577"/>
      <c r="F21" s="577" t="s">
        <v>210</v>
      </c>
      <c r="G21" s="577"/>
      <c r="H21" s="577"/>
      <c r="I21" s="577"/>
      <c r="J21" s="577"/>
      <c r="K21" s="577"/>
    </row>
    <row r="22" spans="2:11" ht="15.75" thickBot="1">
      <c r="B22" s="577"/>
      <c r="C22" s="577"/>
      <c r="D22" s="577"/>
      <c r="E22" s="577"/>
      <c r="F22" s="114" t="s">
        <v>643</v>
      </c>
      <c r="G22" s="114" t="s">
        <v>644</v>
      </c>
      <c r="H22" s="114" t="s">
        <v>645</v>
      </c>
      <c r="I22" s="584"/>
      <c r="J22" s="585"/>
      <c r="K22" s="586"/>
    </row>
    <row r="23" spans="2:11" ht="32.25" customHeight="1" thickBot="1">
      <c r="B23" s="583" t="s">
        <v>564</v>
      </c>
      <c r="C23" s="583"/>
      <c r="D23" s="583"/>
      <c r="E23" s="583"/>
      <c r="F23" s="116"/>
      <c r="G23" s="116"/>
      <c r="H23" s="116"/>
      <c r="I23" s="587">
        <v>0</v>
      </c>
      <c r="J23" s="588"/>
      <c r="K23" s="589"/>
    </row>
    <row r="24" spans="2:11" ht="15.75" thickBot="1">
      <c r="B24" s="582" t="s">
        <v>292</v>
      </c>
      <c r="C24" s="582"/>
      <c r="D24" s="582"/>
      <c r="E24" s="582"/>
      <c r="F24" s="115"/>
      <c r="G24" s="115"/>
      <c r="H24" s="115"/>
      <c r="I24" s="590">
        <v>0</v>
      </c>
      <c r="J24" s="591"/>
      <c r="K24" s="592"/>
    </row>
    <row r="25" spans="2:11" ht="15.75" thickBot="1">
      <c r="B25" s="582" t="s">
        <v>33</v>
      </c>
      <c r="C25" s="582"/>
      <c r="D25" s="582"/>
      <c r="E25" s="582"/>
      <c r="F25" s="115"/>
      <c r="G25" s="115"/>
      <c r="H25" s="115"/>
      <c r="I25" s="590">
        <v>0</v>
      </c>
      <c r="J25" s="591"/>
      <c r="K25" s="592"/>
    </row>
    <row r="26" spans="2:11" ht="45" customHeight="1" thickBot="1">
      <c r="B26" s="581" t="s">
        <v>84</v>
      </c>
      <c r="C26" s="581"/>
      <c r="D26" s="581"/>
      <c r="E26" s="581"/>
      <c r="F26" s="116"/>
      <c r="G26" s="116"/>
      <c r="H26" s="116"/>
      <c r="I26" s="587">
        <v>0</v>
      </c>
      <c r="J26" s="588"/>
      <c r="K26" s="589"/>
    </row>
    <row r="27" spans="2:11" ht="15.75" thickBot="1">
      <c r="B27" s="565" t="s">
        <v>292</v>
      </c>
      <c r="C27" s="566"/>
      <c r="D27" s="566"/>
      <c r="E27" s="567"/>
      <c r="F27" s="112"/>
      <c r="G27" s="112"/>
      <c r="H27" s="112"/>
      <c r="I27" s="590">
        <v>0</v>
      </c>
      <c r="J27" s="591"/>
      <c r="K27" s="592"/>
    </row>
    <row r="28" spans="2:11" ht="15.75" thickBot="1">
      <c r="B28" s="573" t="s">
        <v>33</v>
      </c>
      <c r="C28" s="573"/>
      <c r="D28" s="573"/>
      <c r="E28" s="573"/>
      <c r="F28" s="115"/>
      <c r="G28" s="115"/>
      <c r="H28" s="115"/>
      <c r="I28" s="590">
        <v>0</v>
      </c>
      <c r="J28" s="591"/>
      <c r="K28" s="592"/>
    </row>
    <row r="29" spans="2:11" ht="15" thickBot="1">
      <c r="B29" s="581" t="s">
        <v>85</v>
      </c>
      <c r="C29" s="581"/>
      <c r="D29" s="581"/>
      <c r="E29" s="581"/>
      <c r="F29" s="116"/>
      <c r="G29" s="116"/>
      <c r="H29" s="116"/>
      <c r="I29" s="587">
        <v>0</v>
      </c>
      <c r="J29" s="588"/>
      <c r="K29" s="589"/>
    </row>
    <row r="30" spans="2:11" ht="15.75" thickBot="1">
      <c r="B30" s="582" t="s">
        <v>292</v>
      </c>
      <c r="C30" s="582"/>
      <c r="D30" s="582"/>
      <c r="E30" s="582"/>
      <c r="F30" s="115"/>
      <c r="G30" s="115"/>
      <c r="H30" s="115"/>
      <c r="I30" s="590">
        <v>0</v>
      </c>
      <c r="J30" s="591"/>
      <c r="K30" s="592"/>
    </row>
    <row r="31" spans="2:11" ht="15.75" thickBot="1">
      <c r="B31" s="582" t="s">
        <v>33</v>
      </c>
      <c r="C31" s="582"/>
      <c r="D31" s="582"/>
      <c r="E31" s="582"/>
      <c r="F31" s="115"/>
      <c r="G31" s="115"/>
      <c r="H31" s="115"/>
      <c r="I31" s="590">
        <v>0</v>
      </c>
      <c r="J31" s="591"/>
      <c r="K31" s="592"/>
    </row>
    <row r="32" spans="2:11" ht="45.75" customHeight="1" thickBot="1">
      <c r="B32" s="581" t="s">
        <v>243</v>
      </c>
      <c r="C32" s="581"/>
      <c r="D32" s="581"/>
      <c r="E32" s="581"/>
      <c r="F32" s="116"/>
      <c r="G32" s="116"/>
      <c r="H32" s="116"/>
      <c r="I32" s="587">
        <v>0</v>
      </c>
      <c r="J32" s="588"/>
      <c r="K32" s="589"/>
    </row>
    <row r="33" spans="2:11" ht="46.5" customHeight="1" thickBot="1">
      <c r="B33" s="582" t="s">
        <v>226</v>
      </c>
      <c r="C33" s="582"/>
      <c r="D33" s="582"/>
      <c r="E33" s="582"/>
      <c r="F33" s="115"/>
      <c r="G33" s="115"/>
      <c r="H33" s="115"/>
      <c r="I33" s="590">
        <v>0</v>
      </c>
      <c r="J33" s="591"/>
      <c r="K33" s="592"/>
    </row>
    <row r="34" spans="2:11" ht="15">
      <c r="B34" s="53"/>
      <c r="C34" s="53"/>
      <c r="D34" s="53"/>
      <c r="E34" s="53"/>
      <c r="F34" s="19"/>
      <c r="G34" s="19"/>
      <c r="H34" s="19"/>
      <c r="I34" s="19"/>
      <c r="J34" s="19"/>
      <c r="K34" s="19"/>
    </row>
    <row r="35" spans="2:11" ht="30.75" customHeight="1">
      <c r="B35" s="564" t="s">
        <v>885</v>
      </c>
      <c r="C35" s="564"/>
      <c r="D35" s="564"/>
      <c r="E35" s="564"/>
      <c r="F35" s="564"/>
      <c r="G35" s="564"/>
      <c r="H35" s="564"/>
      <c r="I35" s="564"/>
      <c r="J35" s="564"/>
      <c r="K35" s="564"/>
    </row>
    <row r="36" spans="2:11" ht="35.25" customHeight="1" thickBot="1">
      <c r="B36" s="595" t="s">
        <v>886</v>
      </c>
      <c r="C36" s="595"/>
      <c r="D36" s="595"/>
      <c r="E36" s="595"/>
      <c r="F36" s="595"/>
      <c r="G36" s="595"/>
      <c r="H36" s="595"/>
      <c r="I36" s="595"/>
      <c r="J36" s="595"/>
      <c r="K36" s="595"/>
    </row>
    <row r="37" spans="2:11" ht="62.25" customHeight="1" thickBot="1">
      <c r="B37" s="596" t="s">
        <v>567</v>
      </c>
      <c r="C37" s="596"/>
      <c r="D37" s="596"/>
      <c r="E37" s="596"/>
      <c r="F37" s="596" t="s">
        <v>566</v>
      </c>
      <c r="G37" s="596"/>
      <c r="H37" s="596"/>
      <c r="I37" s="596"/>
      <c r="J37" s="596"/>
      <c r="K37" s="596"/>
    </row>
    <row r="38" spans="2:11" ht="15.75" thickBot="1">
      <c r="B38" s="593" t="s">
        <v>646</v>
      </c>
      <c r="C38" s="593"/>
      <c r="D38" s="593"/>
      <c r="E38" s="117">
        <v>0</v>
      </c>
      <c r="F38" s="593" t="s">
        <v>646</v>
      </c>
      <c r="G38" s="593"/>
      <c r="H38" s="593"/>
      <c r="I38" s="593"/>
      <c r="J38" s="594">
        <v>0</v>
      </c>
      <c r="K38" s="594"/>
    </row>
    <row r="39" spans="2:11" ht="15.75" thickBot="1">
      <c r="B39" s="597"/>
      <c r="C39" s="597"/>
      <c r="D39" s="597"/>
      <c r="E39" s="117"/>
      <c r="F39" s="598"/>
      <c r="G39" s="598"/>
      <c r="H39" s="598"/>
      <c r="I39" s="598"/>
      <c r="J39" s="594"/>
      <c r="K39" s="594"/>
    </row>
    <row r="40" spans="2:11" ht="30" customHeight="1" thickBot="1">
      <c r="B40" s="593" t="s">
        <v>887</v>
      </c>
      <c r="C40" s="593"/>
      <c r="D40" s="593"/>
      <c r="E40" s="117">
        <v>0</v>
      </c>
      <c r="F40" s="593" t="s">
        <v>887</v>
      </c>
      <c r="G40" s="593"/>
      <c r="H40" s="593"/>
      <c r="I40" s="593"/>
      <c r="J40" s="594">
        <v>0</v>
      </c>
      <c r="K40" s="594"/>
    </row>
    <row r="41" spans="2:11" ht="15.75" thickBot="1">
      <c r="B41" s="599" t="s">
        <v>211</v>
      </c>
      <c r="C41" s="599"/>
      <c r="D41" s="599"/>
      <c r="E41" s="117"/>
      <c r="F41" s="599" t="s">
        <v>211</v>
      </c>
      <c r="G41" s="599"/>
      <c r="H41" s="599"/>
      <c r="I41" s="599"/>
      <c r="J41" s="594"/>
      <c r="K41" s="594"/>
    </row>
    <row r="42" spans="2:11" ht="15.75" thickBot="1">
      <c r="B42" s="599" t="s">
        <v>212</v>
      </c>
      <c r="C42" s="599"/>
      <c r="D42" s="599"/>
      <c r="E42" s="117">
        <v>0</v>
      </c>
      <c r="F42" s="598"/>
      <c r="G42" s="598"/>
      <c r="H42" s="598"/>
      <c r="I42" s="598"/>
      <c r="J42" s="594"/>
      <c r="K42" s="594"/>
    </row>
    <row r="43" spans="2:11" ht="18.75" customHeight="1" thickBot="1">
      <c r="B43" s="599" t="s">
        <v>121</v>
      </c>
      <c r="C43" s="599"/>
      <c r="D43" s="599"/>
      <c r="E43" s="117">
        <v>0</v>
      </c>
      <c r="F43" s="599" t="s">
        <v>121</v>
      </c>
      <c r="G43" s="599"/>
      <c r="H43" s="599"/>
      <c r="I43" s="599"/>
      <c r="J43" s="594">
        <v>0</v>
      </c>
      <c r="K43" s="594"/>
    </row>
    <row r="44" spans="2:11" ht="15.75" thickBot="1">
      <c r="B44" s="598"/>
      <c r="C44" s="598"/>
      <c r="D44" s="598"/>
      <c r="E44" s="117"/>
      <c r="F44" s="598"/>
      <c r="G44" s="598"/>
      <c r="H44" s="598"/>
      <c r="I44" s="598"/>
      <c r="J44" s="594"/>
      <c r="K44" s="594"/>
    </row>
    <row r="45" spans="2:11" ht="29.25" customHeight="1" thickBot="1">
      <c r="B45" s="593" t="s">
        <v>888</v>
      </c>
      <c r="C45" s="593"/>
      <c r="D45" s="593"/>
      <c r="E45" s="117">
        <v>0</v>
      </c>
      <c r="F45" s="593" t="s">
        <v>888</v>
      </c>
      <c r="G45" s="593"/>
      <c r="H45" s="593"/>
      <c r="I45" s="593"/>
      <c r="J45" s="594">
        <v>0</v>
      </c>
      <c r="K45" s="594"/>
    </row>
    <row r="46" spans="2:11" ht="15.75" thickBot="1">
      <c r="B46" s="599" t="s">
        <v>211</v>
      </c>
      <c r="C46" s="599"/>
      <c r="D46" s="599"/>
      <c r="E46" s="117"/>
      <c r="F46" s="599" t="s">
        <v>211</v>
      </c>
      <c r="G46" s="599"/>
      <c r="H46" s="599"/>
      <c r="I46" s="599"/>
      <c r="J46" s="594"/>
      <c r="K46" s="594"/>
    </row>
    <row r="47" spans="2:11" ht="15.75" thickBot="1">
      <c r="B47" s="599" t="s">
        <v>212</v>
      </c>
      <c r="C47" s="599"/>
      <c r="D47" s="599"/>
      <c r="E47" s="117">
        <v>0</v>
      </c>
      <c r="F47" s="598"/>
      <c r="G47" s="598"/>
      <c r="H47" s="598"/>
      <c r="I47" s="598"/>
      <c r="J47" s="594"/>
      <c r="K47" s="594"/>
    </row>
    <row r="48" spans="2:11" ht="28.5" customHeight="1" thickBot="1">
      <c r="B48" s="599" t="s">
        <v>122</v>
      </c>
      <c r="C48" s="599"/>
      <c r="D48" s="599"/>
      <c r="E48" s="117">
        <v>0</v>
      </c>
      <c r="F48" s="599" t="s">
        <v>122</v>
      </c>
      <c r="G48" s="599"/>
      <c r="H48" s="599"/>
      <c r="I48" s="599"/>
      <c r="J48" s="594">
        <v>0</v>
      </c>
      <c r="K48" s="594"/>
    </row>
    <row r="49" spans="2:11" ht="15.75" thickBot="1">
      <c r="B49" s="598"/>
      <c r="C49" s="598"/>
      <c r="D49" s="598"/>
      <c r="E49" s="117"/>
      <c r="F49" s="598"/>
      <c r="G49" s="598"/>
      <c r="H49" s="598"/>
      <c r="I49" s="598"/>
      <c r="J49" s="594"/>
      <c r="K49" s="594"/>
    </row>
    <row r="50" spans="2:11" ht="15.75" thickBot="1">
      <c r="B50" s="593" t="s">
        <v>889</v>
      </c>
      <c r="C50" s="593"/>
      <c r="D50" s="593"/>
      <c r="E50" s="117">
        <v>0</v>
      </c>
      <c r="F50" s="593" t="s">
        <v>889</v>
      </c>
      <c r="G50" s="593"/>
      <c r="H50" s="593"/>
      <c r="I50" s="593"/>
      <c r="J50" s="594">
        <v>0</v>
      </c>
      <c r="K50" s="594"/>
    </row>
    <row r="51" spans="2:11" ht="15"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2:11" ht="15"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2:11" ht="39.75" customHeight="1">
      <c r="B53" s="564" t="s">
        <v>1059</v>
      </c>
      <c r="C53" s="564"/>
      <c r="D53" s="564"/>
      <c r="E53" s="564"/>
      <c r="F53" s="564"/>
      <c r="G53" s="564"/>
      <c r="H53" s="564"/>
      <c r="I53" s="564"/>
      <c r="J53" s="564"/>
      <c r="K53" s="564"/>
    </row>
    <row r="54" spans="2:11" ht="31.5" customHeight="1" thickBot="1">
      <c r="B54" s="595" t="s">
        <v>1060</v>
      </c>
      <c r="C54" s="595"/>
      <c r="D54" s="595"/>
      <c r="E54" s="595"/>
      <c r="F54" s="595"/>
      <c r="G54" s="595"/>
      <c r="H54" s="595"/>
      <c r="I54" s="595"/>
      <c r="J54" s="595"/>
      <c r="K54" s="595"/>
    </row>
    <row r="55" spans="2:11" ht="62.25" customHeight="1" thickBot="1">
      <c r="B55" s="596" t="s">
        <v>567</v>
      </c>
      <c r="C55" s="596"/>
      <c r="D55" s="596"/>
      <c r="E55" s="596"/>
      <c r="F55" s="596" t="s">
        <v>566</v>
      </c>
      <c r="G55" s="596"/>
      <c r="H55" s="596"/>
      <c r="I55" s="596"/>
      <c r="J55" s="596"/>
      <c r="K55" s="596"/>
    </row>
    <row r="56" spans="2:11" ht="15.75" thickBot="1">
      <c r="B56" s="593" t="s">
        <v>889</v>
      </c>
      <c r="C56" s="593"/>
      <c r="D56" s="593"/>
      <c r="E56" s="117">
        <v>0</v>
      </c>
      <c r="F56" s="593" t="s">
        <v>889</v>
      </c>
      <c r="G56" s="593"/>
      <c r="H56" s="593"/>
      <c r="I56" s="593"/>
      <c r="J56" s="594">
        <v>0</v>
      </c>
      <c r="K56" s="594"/>
    </row>
    <row r="57" spans="2:11" ht="15.75" thickBot="1">
      <c r="B57" s="597"/>
      <c r="C57" s="597"/>
      <c r="D57" s="597"/>
      <c r="E57" s="117"/>
      <c r="F57" s="598"/>
      <c r="G57" s="598"/>
      <c r="H57" s="598"/>
      <c r="I57" s="598"/>
      <c r="J57" s="594"/>
      <c r="K57" s="594"/>
    </row>
    <row r="58" spans="2:11" ht="29.25" customHeight="1" thickBot="1">
      <c r="B58" s="600" t="s">
        <v>1061</v>
      </c>
      <c r="C58" s="601"/>
      <c r="D58" s="602"/>
      <c r="E58" s="117">
        <v>0</v>
      </c>
      <c r="F58" s="593" t="s">
        <v>1061</v>
      </c>
      <c r="G58" s="593"/>
      <c r="H58" s="593"/>
      <c r="I58" s="593"/>
      <c r="J58" s="594">
        <v>0</v>
      </c>
      <c r="K58" s="594"/>
    </row>
    <row r="59" spans="2:11" ht="15.75" thickBot="1">
      <c r="B59" s="599" t="s">
        <v>211</v>
      </c>
      <c r="C59" s="599"/>
      <c r="D59" s="599"/>
      <c r="E59" s="117"/>
      <c r="F59" s="599" t="s">
        <v>211</v>
      </c>
      <c r="G59" s="599"/>
      <c r="H59" s="599"/>
      <c r="I59" s="599"/>
      <c r="J59" s="594"/>
      <c r="K59" s="594"/>
    </row>
    <row r="60" spans="2:11" ht="15.75" thickBot="1">
      <c r="B60" s="599" t="s">
        <v>212</v>
      </c>
      <c r="C60" s="599"/>
      <c r="D60" s="599"/>
      <c r="E60" s="117">
        <v>0</v>
      </c>
      <c r="F60" s="598"/>
      <c r="G60" s="598"/>
      <c r="H60" s="598"/>
      <c r="I60" s="598"/>
      <c r="J60" s="594"/>
      <c r="K60" s="594"/>
    </row>
    <row r="61" spans="2:11" ht="15.75" thickBot="1">
      <c r="B61" s="599" t="s">
        <v>121</v>
      </c>
      <c r="C61" s="599"/>
      <c r="D61" s="599"/>
      <c r="E61" s="117">
        <v>0</v>
      </c>
      <c r="F61" s="599" t="s">
        <v>121</v>
      </c>
      <c r="G61" s="599"/>
      <c r="H61" s="599"/>
      <c r="I61" s="599"/>
      <c r="J61" s="594">
        <v>0</v>
      </c>
      <c r="K61" s="594"/>
    </row>
    <row r="62" spans="2:11" ht="15.75" thickBot="1">
      <c r="B62" s="598"/>
      <c r="C62" s="598"/>
      <c r="D62" s="598"/>
      <c r="E62" s="117"/>
      <c r="F62" s="598"/>
      <c r="G62" s="598"/>
      <c r="H62" s="598"/>
      <c r="I62" s="598"/>
      <c r="J62" s="594"/>
      <c r="K62" s="594"/>
    </row>
    <row r="63" spans="2:11" ht="30" customHeight="1" thickBot="1">
      <c r="B63" s="593" t="s">
        <v>1062</v>
      </c>
      <c r="C63" s="593"/>
      <c r="D63" s="593"/>
      <c r="E63" s="117">
        <v>0</v>
      </c>
      <c r="F63" s="593" t="s">
        <v>1062</v>
      </c>
      <c r="G63" s="593"/>
      <c r="H63" s="593"/>
      <c r="I63" s="593"/>
      <c r="J63" s="594">
        <v>0</v>
      </c>
      <c r="K63" s="594"/>
    </row>
    <row r="64" spans="2:11" ht="15.75" thickBot="1">
      <c r="B64" s="599" t="s">
        <v>211</v>
      </c>
      <c r="C64" s="599"/>
      <c r="D64" s="599"/>
      <c r="E64" s="117"/>
      <c r="F64" s="599" t="s">
        <v>211</v>
      </c>
      <c r="G64" s="599"/>
      <c r="H64" s="599"/>
      <c r="I64" s="599"/>
      <c r="J64" s="594"/>
      <c r="K64" s="594"/>
    </row>
    <row r="65" spans="2:11" ht="15.75" thickBot="1">
      <c r="B65" s="599" t="s">
        <v>212</v>
      </c>
      <c r="C65" s="599"/>
      <c r="D65" s="599"/>
      <c r="E65" s="117">
        <v>0</v>
      </c>
      <c r="F65" s="598"/>
      <c r="G65" s="598"/>
      <c r="H65" s="598"/>
      <c r="I65" s="598"/>
      <c r="J65" s="594"/>
      <c r="K65" s="594"/>
    </row>
    <row r="66" spans="2:11" ht="35.25" customHeight="1" thickBot="1">
      <c r="B66" s="599" t="s">
        <v>122</v>
      </c>
      <c r="C66" s="599"/>
      <c r="D66" s="599"/>
      <c r="E66" s="117">
        <v>0</v>
      </c>
      <c r="F66" s="599" t="s">
        <v>122</v>
      </c>
      <c r="G66" s="599"/>
      <c r="H66" s="599"/>
      <c r="I66" s="599"/>
      <c r="J66" s="594">
        <v>0</v>
      </c>
      <c r="K66" s="594"/>
    </row>
    <row r="67" spans="2:11" ht="15.75" thickBot="1">
      <c r="B67" s="598"/>
      <c r="C67" s="598"/>
      <c r="D67" s="598"/>
      <c r="E67" s="117"/>
      <c r="F67" s="598"/>
      <c r="G67" s="598"/>
      <c r="H67" s="598"/>
      <c r="I67" s="598"/>
      <c r="J67" s="594"/>
      <c r="K67" s="594"/>
    </row>
    <row r="68" spans="2:11" ht="15.75" thickBot="1">
      <c r="B68" s="593" t="s">
        <v>1063</v>
      </c>
      <c r="C68" s="593"/>
      <c r="D68" s="593"/>
      <c r="E68" s="117">
        <v>0</v>
      </c>
      <c r="F68" s="593" t="s">
        <v>1063</v>
      </c>
      <c r="G68" s="593"/>
      <c r="H68" s="593"/>
      <c r="I68" s="593"/>
      <c r="J68" s="594">
        <v>0</v>
      </c>
      <c r="K68" s="594"/>
    </row>
    <row r="71" spans="2:11" ht="28.5" customHeight="1">
      <c r="B71" s="564" t="s">
        <v>1319</v>
      </c>
      <c r="C71" s="564"/>
      <c r="D71" s="564"/>
      <c r="E71" s="564"/>
      <c r="F71" s="564"/>
      <c r="G71" s="564"/>
      <c r="H71" s="564"/>
      <c r="I71" s="564"/>
      <c r="J71" s="564"/>
      <c r="K71" s="564"/>
    </row>
    <row r="72" spans="2:11" ht="35.25" customHeight="1" thickBot="1">
      <c r="B72" s="595" t="s">
        <v>1320</v>
      </c>
      <c r="C72" s="595"/>
      <c r="D72" s="595"/>
      <c r="E72" s="595"/>
      <c r="F72" s="595"/>
      <c r="G72" s="595"/>
      <c r="H72" s="595"/>
      <c r="I72" s="595"/>
      <c r="J72" s="595"/>
      <c r="K72" s="595"/>
    </row>
    <row r="73" spans="2:11" ht="15.75" thickBot="1">
      <c r="B73" s="596" t="s">
        <v>567</v>
      </c>
      <c r="C73" s="596"/>
      <c r="D73" s="596"/>
      <c r="E73" s="596"/>
      <c r="F73" s="596" t="s">
        <v>566</v>
      </c>
      <c r="G73" s="596"/>
      <c r="H73" s="596"/>
      <c r="I73" s="596"/>
      <c r="J73" s="596"/>
      <c r="K73" s="596"/>
    </row>
    <row r="74" spans="2:11" ht="15.75" thickBot="1">
      <c r="B74" s="593" t="s">
        <v>1063</v>
      </c>
      <c r="C74" s="593"/>
      <c r="D74" s="593"/>
      <c r="E74" s="117">
        <v>0</v>
      </c>
      <c r="F74" s="593" t="s">
        <v>1063</v>
      </c>
      <c r="G74" s="593"/>
      <c r="H74" s="593"/>
      <c r="I74" s="593"/>
      <c r="J74" s="594">
        <v>0</v>
      </c>
      <c r="K74" s="594"/>
    </row>
    <row r="75" spans="2:11" ht="15.75" thickBot="1">
      <c r="B75" s="597"/>
      <c r="C75" s="597"/>
      <c r="D75" s="597"/>
      <c r="E75" s="117"/>
      <c r="F75" s="598"/>
      <c r="G75" s="598"/>
      <c r="H75" s="598"/>
      <c r="I75" s="598"/>
      <c r="J75" s="594"/>
      <c r="K75" s="594"/>
    </row>
    <row r="76" spans="2:11" ht="31.5" customHeight="1" thickBot="1">
      <c r="B76" s="600" t="s">
        <v>1321</v>
      </c>
      <c r="C76" s="601"/>
      <c r="D76" s="602"/>
      <c r="E76" s="117">
        <v>0</v>
      </c>
      <c r="F76" s="593" t="s">
        <v>1321</v>
      </c>
      <c r="G76" s="593"/>
      <c r="H76" s="593"/>
      <c r="I76" s="593"/>
      <c r="J76" s="594">
        <v>0</v>
      </c>
      <c r="K76" s="594"/>
    </row>
    <row r="77" spans="2:11" ht="15.75" thickBot="1">
      <c r="B77" s="599" t="s">
        <v>211</v>
      </c>
      <c r="C77" s="599"/>
      <c r="D77" s="599"/>
      <c r="E77" s="117"/>
      <c r="F77" s="599" t="s">
        <v>211</v>
      </c>
      <c r="G77" s="599"/>
      <c r="H77" s="599"/>
      <c r="I77" s="599"/>
      <c r="J77" s="594"/>
      <c r="K77" s="594"/>
    </row>
    <row r="78" spans="2:11" ht="15.75" thickBot="1">
      <c r="B78" s="599" t="s">
        <v>212</v>
      </c>
      <c r="C78" s="599"/>
      <c r="D78" s="599"/>
      <c r="E78" s="117">
        <v>0</v>
      </c>
      <c r="F78" s="598"/>
      <c r="G78" s="598"/>
      <c r="H78" s="598"/>
      <c r="I78" s="598"/>
      <c r="J78" s="594"/>
      <c r="K78" s="594"/>
    </row>
    <row r="79" spans="2:11" ht="19.5" customHeight="1" thickBot="1">
      <c r="B79" s="599" t="s">
        <v>121</v>
      </c>
      <c r="C79" s="599"/>
      <c r="D79" s="599"/>
      <c r="E79" s="117">
        <v>0</v>
      </c>
      <c r="F79" s="599" t="s">
        <v>121</v>
      </c>
      <c r="G79" s="599"/>
      <c r="H79" s="599"/>
      <c r="I79" s="599"/>
      <c r="J79" s="594">
        <v>0</v>
      </c>
      <c r="K79" s="594"/>
    </row>
    <row r="80" spans="2:11" ht="15.75" thickBot="1">
      <c r="B80" s="598"/>
      <c r="C80" s="598"/>
      <c r="D80" s="598"/>
      <c r="E80" s="117"/>
      <c r="F80" s="598"/>
      <c r="G80" s="598"/>
      <c r="H80" s="598"/>
      <c r="I80" s="598"/>
      <c r="J80" s="594"/>
      <c r="K80" s="594"/>
    </row>
    <row r="81" spans="2:11" ht="27.75" customHeight="1" thickBot="1">
      <c r="B81" s="593" t="s">
        <v>1322</v>
      </c>
      <c r="C81" s="593"/>
      <c r="D81" s="593"/>
      <c r="E81" s="117">
        <v>0</v>
      </c>
      <c r="F81" s="593" t="s">
        <v>1322</v>
      </c>
      <c r="G81" s="593"/>
      <c r="H81" s="593"/>
      <c r="I81" s="593"/>
      <c r="J81" s="594">
        <v>0</v>
      </c>
      <c r="K81" s="594"/>
    </row>
    <row r="82" spans="2:11" ht="15.75" thickBot="1">
      <c r="B82" s="599" t="s">
        <v>211</v>
      </c>
      <c r="C82" s="599"/>
      <c r="D82" s="599"/>
      <c r="E82" s="117"/>
      <c r="F82" s="599" t="s">
        <v>211</v>
      </c>
      <c r="G82" s="599"/>
      <c r="H82" s="599"/>
      <c r="I82" s="599"/>
      <c r="J82" s="594"/>
      <c r="K82" s="594"/>
    </row>
    <row r="83" spans="2:11" ht="15.75" thickBot="1">
      <c r="B83" s="599" t="s">
        <v>212</v>
      </c>
      <c r="C83" s="599"/>
      <c r="D83" s="599"/>
      <c r="E83" s="117">
        <v>0</v>
      </c>
      <c r="F83" s="598"/>
      <c r="G83" s="598"/>
      <c r="H83" s="598"/>
      <c r="I83" s="598"/>
      <c r="J83" s="594"/>
      <c r="K83" s="594"/>
    </row>
    <row r="84" spans="2:11" ht="29.25" customHeight="1" thickBot="1">
      <c r="B84" s="599" t="s">
        <v>122</v>
      </c>
      <c r="C84" s="599"/>
      <c r="D84" s="599"/>
      <c r="E84" s="117">
        <v>0</v>
      </c>
      <c r="F84" s="599" t="s">
        <v>122</v>
      </c>
      <c r="G84" s="599"/>
      <c r="H84" s="599"/>
      <c r="I84" s="599"/>
      <c r="J84" s="594">
        <v>0</v>
      </c>
      <c r="K84" s="594"/>
    </row>
    <row r="85" spans="2:11" ht="15.75" thickBot="1">
      <c r="B85" s="598"/>
      <c r="C85" s="598"/>
      <c r="D85" s="598"/>
      <c r="E85" s="117"/>
      <c r="F85" s="598"/>
      <c r="G85" s="598"/>
      <c r="H85" s="598"/>
      <c r="I85" s="598"/>
      <c r="J85" s="594"/>
      <c r="K85" s="594"/>
    </row>
    <row r="86" spans="2:11" ht="15.75" thickBot="1">
      <c r="B86" s="593" t="s">
        <v>1323</v>
      </c>
      <c r="C86" s="593"/>
      <c r="D86" s="593"/>
      <c r="E86" s="117">
        <v>0</v>
      </c>
      <c r="F86" s="593" t="s">
        <v>1323</v>
      </c>
      <c r="G86" s="593"/>
      <c r="H86" s="593"/>
      <c r="I86" s="593"/>
      <c r="J86" s="594">
        <v>0</v>
      </c>
      <c r="K86" s="594"/>
    </row>
  </sheetData>
  <sheetProtection/>
  <mergeCells count="170">
    <mergeCell ref="B85:D85"/>
    <mergeCell ref="F85:I85"/>
    <mergeCell ref="J85:K85"/>
    <mergeCell ref="B86:D86"/>
    <mergeCell ref="F86:I86"/>
    <mergeCell ref="J86:K86"/>
    <mergeCell ref="B83:D83"/>
    <mergeCell ref="F83:I83"/>
    <mergeCell ref="J83:K83"/>
    <mergeCell ref="B84:D84"/>
    <mergeCell ref="F84:I84"/>
    <mergeCell ref="J84:K84"/>
    <mergeCell ref="B81:D81"/>
    <mergeCell ref="F81:I81"/>
    <mergeCell ref="J81:K81"/>
    <mergeCell ref="B82:D82"/>
    <mergeCell ref="F82:I82"/>
    <mergeCell ref="J82:K82"/>
    <mergeCell ref="B79:D79"/>
    <mergeCell ref="F79:I79"/>
    <mergeCell ref="J79:K79"/>
    <mergeCell ref="B80:D80"/>
    <mergeCell ref="F80:I80"/>
    <mergeCell ref="J80:K80"/>
    <mergeCell ref="B77:D77"/>
    <mergeCell ref="F77:I77"/>
    <mergeCell ref="J77:K77"/>
    <mergeCell ref="B78:D78"/>
    <mergeCell ref="F78:I78"/>
    <mergeCell ref="J78:K78"/>
    <mergeCell ref="B75:D75"/>
    <mergeCell ref="F75:I75"/>
    <mergeCell ref="J75:K75"/>
    <mergeCell ref="B76:D76"/>
    <mergeCell ref="F76:I76"/>
    <mergeCell ref="J76:K76"/>
    <mergeCell ref="B71:K71"/>
    <mergeCell ref="B72:K72"/>
    <mergeCell ref="B73:E73"/>
    <mergeCell ref="F73:K73"/>
    <mergeCell ref="B74:D74"/>
    <mergeCell ref="F74:I74"/>
    <mergeCell ref="J74:K74"/>
    <mergeCell ref="B67:D67"/>
    <mergeCell ref="F67:I67"/>
    <mergeCell ref="J67:K67"/>
    <mergeCell ref="B68:D68"/>
    <mergeCell ref="F68:I68"/>
    <mergeCell ref="J68:K68"/>
    <mergeCell ref="B65:D65"/>
    <mergeCell ref="F65:I65"/>
    <mergeCell ref="J65:K65"/>
    <mergeCell ref="B66:D66"/>
    <mergeCell ref="F66:I66"/>
    <mergeCell ref="J66:K66"/>
    <mergeCell ref="B63:D63"/>
    <mergeCell ref="F63:I63"/>
    <mergeCell ref="J63:K63"/>
    <mergeCell ref="B64:D64"/>
    <mergeCell ref="F64:I64"/>
    <mergeCell ref="J64:K64"/>
    <mergeCell ref="B61:D61"/>
    <mergeCell ref="F61:I61"/>
    <mergeCell ref="J61:K61"/>
    <mergeCell ref="B62:D62"/>
    <mergeCell ref="F62:I62"/>
    <mergeCell ref="J62:K62"/>
    <mergeCell ref="B59:D59"/>
    <mergeCell ref="F59:I59"/>
    <mergeCell ref="J59:K59"/>
    <mergeCell ref="B60:D60"/>
    <mergeCell ref="F60:I60"/>
    <mergeCell ref="J60:K60"/>
    <mergeCell ref="J56:K56"/>
    <mergeCell ref="B57:D57"/>
    <mergeCell ref="F57:I57"/>
    <mergeCell ref="J57:K57"/>
    <mergeCell ref="B58:D58"/>
    <mergeCell ref="F58:I58"/>
    <mergeCell ref="J58:K58"/>
    <mergeCell ref="B53:K53"/>
    <mergeCell ref="B54:K54"/>
    <mergeCell ref="B55:E55"/>
    <mergeCell ref="F55:K55"/>
    <mergeCell ref="B50:D50"/>
    <mergeCell ref="F50:I50"/>
    <mergeCell ref="J50:K50"/>
    <mergeCell ref="I26:K26"/>
    <mergeCell ref="I27:K27"/>
    <mergeCell ref="I28:K28"/>
    <mergeCell ref="I29:K29"/>
    <mergeCell ref="I32:K32"/>
    <mergeCell ref="I30:K30"/>
    <mergeCell ref="I31:K31"/>
    <mergeCell ref="F49:I49"/>
    <mergeCell ref="J49:K49"/>
    <mergeCell ref="B48:D48"/>
    <mergeCell ref="F48:I48"/>
    <mergeCell ref="J48:K48"/>
    <mergeCell ref="B47:D47"/>
    <mergeCell ref="F47:I47"/>
    <mergeCell ref="J47:K47"/>
    <mergeCell ref="B49:D49"/>
    <mergeCell ref="B46:D46"/>
    <mergeCell ref="F46:I46"/>
    <mergeCell ref="J46:K46"/>
    <mergeCell ref="B45:D45"/>
    <mergeCell ref="F45:I45"/>
    <mergeCell ref="J45:K45"/>
    <mergeCell ref="B44:D44"/>
    <mergeCell ref="F44:I44"/>
    <mergeCell ref="J44:K44"/>
    <mergeCell ref="B43:D43"/>
    <mergeCell ref="F43:I43"/>
    <mergeCell ref="J43:K43"/>
    <mergeCell ref="B42:D42"/>
    <mergeCell ref="F42:I42"/>
    <mergeCell ref="J42:K42"/>
    <mergeCell ref="B41:D41"/>
    <mergeCell ref="F41:I41"/>
    <mergeCell ref="J41:K41"/>
    <mergeCell ref="B40:D40"/>
    <mergeCell ref="F40:I40"/>
    <mergeCell ref="J40:K40"/>
    <mergeCell ref="B39:D39"/>
    <mergeCell ref="F39:I39"/>
    <mergeCell ref="J39:K39"/>
    <mergeCell ref="B38:D38"/>
    <mergeCell ref="F38:I38"/>
    <mergeCell ref="J38:K38"/>
    <mergeCell ref="B35:K35"/>
    <mergeCell ref="B36:K36"/>
    <mergeCell ref="B37:E37"/>
    <mergeCell ref="F37:K37"/>
    <mergeCell ref="I33:K33"/>
    <mergeCell ref="B26:E26"/>
    <mergeCell ref="B25:E25"/>
    <mergeCell ref="B29:E29"/>
    <mergeCell ref="B28:E28"/>
    <mergeCell ref="B56:D56"/>
    <mergeCell ref="F56:I56"/>
    <mergeCell ref="B31:E31"/>
    <mergeCell ref="B30:E30"/>
    <mergeCell ref="B33:E33"/>
    <mergeCell ref="B32:E32"/>
    <mergeCell ref="B19:K19"/>
    <mergeCell ref="B21:E22"/>
    <mergeCell ref="F21:K21"/>
    <mergeCell ref="B24:E24"/>
    <mergeCell ref="B23:E23"/>
    <mergeCell ref="I22:K22"/>
    <mergeCell ref="I23:K23"/>
    <mergeCell ref="I24:K24"/>
    <mergeCell ref="I25:K25"/>
    <mergeCell ref="B17:E17"/>
    <mergeCell ref="B11:K11"/>
    <mergeCell ref="B13:K13"/>
    <mergeCell ref="B15:E16"/>
    <mergeCell ref="F15:K15"/>
    <mergeCell ref="E9:H9"/>
    <mergeCell ref="F1:K1"/>
    <mergeCell ref="B6:K6"/>
    <mergeCell ref="B27:E27"/>
    <mergeCell ref="B7:K7"/>
    <mergeCell ref="B9:B10"/>
    <mergeCell ref="C9:C10"/>
    <mergeCell ref="D9:D10"/>
    <mergeCell ref="I9:I10"/>
    <mergeCell ref="J9:J10"/>
    <mergeCell ref="K9:K10"/>
  </mergeCells>
  <printOptions/>
  <pageMargins left="0.75" right="0.27" top="1" bottom="1" header="0.5" footer="0.5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5"/>
  <sheetViews>
    <sheetView view="pageBreakPreview" zoomScale="60" zoomScalePageLayoutView="0" workbookViewId="0" topLeftCell="A145">
      <selection activeCell="B151" sqref="B151"/>
    </sheetView>
  </sheetViews>
  <sheetFormatPr defaultColWidth="9.140625" defaultRowHeight="12.75"/>
  <cols>
    <col min="1" max="1" width="32.28125" style="182" customWidth="1"/>
    <col min="2" max="2" width="57.140625" style="182" customWidth="1"/>
    <col min="3" max="3" width="23.7109375" style="182" customWidth="1"/>
    <col min="4" max="4" width="19.28125" style="182" customWidth="1"/>
    <col min="5" max="5" width="20.7109375" style="182" customWidth="1"/>
    <col min="6" max="8" width="20.8515625" style="182" hidden="1" customWidth="1"/>
    <col min="9" max="16384" width="9.140625" style="182" customWidth="1"/>
  </cols>
  <sheetData>
    <row r="1" spans="3:5" ht="15.75">
      <c r="C1" s="351"/>
      <c r="D1" s="42"/>
      <c r="E1" s="40" t="s">
        <v>200</v>
      </c>
    </row>
    <row r="2" spans="3:5" ht="16.5" thickBot="1">
      <c r="C2" s="509" t="s">
        <v>113</v>
      </c>
      <c r="D2" s="509"/>
      <c r="E2" s="509"/>
    </row>
    <row r="3" spans="3:8" ht="24" customHeight="1" thickBot="1">
      <c r="C3" s="351"/>
      <c r="D3" s="42"/>
      <c r="E3" s="40" t="s">
        <v>1457</v>
      </c>
      <c r="F3" s="510" t="s">
        <v>1466</v>
      </c>
      <c r="G3" s="511"/>
      <c r="H3" s="512"/>
    </row>
    <row r="4" spans="1:3" ht="15.75" customHeight="1">
      <c r="A4" s="513"/>
      <c r="B4" s="513"/>
      <c r="C4" s="513"/>
    </row>
    <row r="5" spans="1:5" ht="41.25" customHeight="1">
      <c r="A5" s="514" t="s">
        <v>1271</v>
      </c>
      <c r="B5" s="514"/>
      <c r="C5" s="514"/>
      <c r="D5" s="514"/>
      <c r="E5" s="514"/>
    </row>
    <row r="6" spans="1:3" ht="13.5" thickBot="1">
      <c r="A6" s="183"/>
      <c r="B6" s="183"/>
      <c r="C6" s="183"/>
    </row>
    <row r="7" spans="1:5" ht="13.5" customHeight="1">
      <c r="A7" s="515" t="s">
        <v>168</v>
      </c>
      <c r="B7" s="517" t="s">
        <v>774</v>
      </c>
      <c r="C7" s="517" t="s">
        <v>210</v>
      </c>
      <c r="D7" s="517"/>
      <c r="E7" s="519"/>
    </row>
    <row r="8" spans="1:5" ht="12.75">
      <c r="A8" s="516"/>
      <c r="B8" s="518"/>
      <c r="C8" s="298">
        <v>2020</v>
      </c>
      <c r="D8" s="298">
        <v>2021</v>
      </c>
      <c r="E8" s="372">
        <v>2022</v>
      </c>
    </row>
    <row r="9" spans="1:5" ht="12.75">
      <c r="A9" s="373">
        <v>1</v>
      </c>
      <c r="B9" s="299">
        <v>2</v>
      </c>
      <c r="C9" s="299">
        <v>3</v>
      </c>
      <c r="D9" s="299">
        <v>4</v>
      </c>
      <c r="E9" s="374">
        <v>5</v>
      </c>
    </row>
    <row r="10" spans="1:5" ht="15.75">
      <c r="A10" s="375" t="s">
        <v>775</v>
      </c>
      <c r="B10" s="300" t="s">
        <v>776</v>
      </c>
      <c r="C10" s="301">
        <f>C11+C21+C31+C41+C45+C62+C72+C78+C92+C109</f>
        <v>68492444</v>
      </c>
      <c r="D10" s="301">
        <f>D11+D21+D31+D41+D45+D62+D72+D78+D92+D109</f>
        <v>66305524</v>
      </c>
      <c r="E10" s="376">
        <f>E11+E21+E31+E41+E45+E62+E72+E78+E92+E109</f>
        <v>66679514</v>
      </c>
    </row>
    <row r="11" spans="1:5" ht="15.75">
      <c r="A11" s="375" t="s">
        <v>777</v>
      </c>
      <c r="B11" s="300" t="s">
        <v>778</v>
      </c>
      <c r="C11" s="301">
        <f>C12</f>
        <v>48562040</v>
      </c>
      <c r="D11" s="301">
        <f>D12</f>
        <v>48893430</v>
      </c>
      <c r="E11" s="376">
        <f>E12</f>
        <v>49163820</v>
      </c>
    </row>
    <row r="12" spans="1:5" ht="15.75">
      <c r="A12" s="377" t="s">
        <v>779</v>
      </c>
      <c r="B12" s="302" t="s">
        <v>227</v>
      </c>
      <c r="C12" s="303">
        <f>C13+C15+C17+C19</f>
        <v>48562040</v>
      </c>
      <c r="D12" s="303">
        <f>D13+D15+D17+D19</f>
        <v>48893430</v>
      </c>
      <c r="E12" s="378">
        <f>E13+E15+E17+E19</f>
        <v>49163820</v>
      </c>
    </row>
    <row r="13" spans="1:5" ht="81.75" customHeight="1">
      <c r="A13" s="379" t="s">
        <v>780</v>
      </c>
      <c r="B13" s="304" t="s">
        <v>174</v>
      </c>
      <c r="C13" s="305">
        <f>SUM(C14)</f>
        <v>47061610</v>
      </c>
      <c r="D13" s="305">
        <f>SUM(D14)</f>
        <v>47296920</v>
      </c>
      <c r="E13" s="380">
        <f>SUM(E14)</f>
        <v>47533400</v>
      </c>
    </row>
    <row r="14" spans="1:5" ht="83.25" customHeight="1">
      <c r="A14" s="381" t="s">
        <v>262</v>
      </c>
      <c r="B14" s="65" t="s">
        <v>174</v>
      </c>
      <c r="C14" s="186">
        <v>47061610</v>
      </c>
      <c r="D14" s="186">
        <v>47296920</v>
      </c>
      <c r="E14" s="382">
        <v>47533400</v>
      </c>
    </row>
    <row r="15" spans="1:5" ht="129.75" customHeight="1">
      <c r="A15" s="379" t="s">
        <v>781</v>
      </c>
      <c r="B15" s="304" t="s">
        <v>782</v>
      </c>
      <c r="C15" s="305">
        <f>C16</f>
        <v>508690</v>
      </c>
      <c r="D15" s="305">
        <f>D16</f>
        <v>565210</v>
      </c>
      <c r="E15" s="380">
        <f>E16</f>
        <v>565210</v>
      </c>
    </row>
    <row r="16" spans="1:5" ht="129.75" customHeight="1">
      <c r="A16" s="381" t="s">
        <v>263</v>
      </c>
      <c r="B16" s="306" t="s">
        <v>184</v>
      </c>
      <c r="C16" s="186">
        <v>508690</v>
      </c>
      <c r="D16" s="186">
        <v>565210</v>
      </c>
      <c r="E16" s="382">
        <v>565210</v>
      </c>
    </row>
    <row r="17" spans="1:5" ht="54.75" customHeight="1">
      <c r="A17" s="379" t="s">
        <v>783</v>
      </c>
      <c r="B17" s="304" t="s">
        <v>784</v>
      </c>
      <c r="C17" s="305">
        <f>C18</f>
        <v>491740</v>
      </c>
      <c r="D17" s="305">
        <f>D18</f>
        <v>531300</v>
      </c>
      <c r="E17" s="380">
        <f>E18</f>
        <v>565210</v>
      </c>
    </row>
    <row r="18" spans="1:5" ht="51.75" customHeight="1">
      <c r="A18" s="381" t="s">
        <v>264</v>
      </c>
      <c r="B18" s="71" t="s">
        <v>29</v>
      </c>
      <c r="C18" s="186">
        <v>491740</v>
      </c>
      <c r="D18" s="186">
        <v>531300</v>
      </c>
      <c r="E18" s="382">
        <v>565210</v>
      </c>
    </row>
    <row r="19" spans="1:5" ht="117.75" customHeight="1">
      <c r="A19" s="383" t="s">
        <v>785</v>
      </c>
      <c r="B19" s="307" t="s">
        <v>738</v>
      </c>
      <c r="C19" s="308">
        <f>C20</f>
        <v>500000</v>
      </c>
      <c r="D19" s="308">
        <f>D20</f>
        <v>500000</v>
      </c>
      <c r="E19" s="384">
        <f>E20</f>
        <v>500000</v>
      </c>
    </row>
    <row r="20" spans="1:5" ht="110.25">
      <c r="A20" s="381" t="s">
        <v>265</v>
      </c>
      <c r="B20" s="71" t="s">
        <v>738</v>
      </c>
      <c r="C20" s="186">
        <v>500000</v>
      </c>
      <c r="D20" s="186">
        <v>500000</v>
      </c>
      <c r="E20" s="382">
        <v>500000</v>
      </c>
    </row>
    <row r="21" spans="1:5" ht="50.25" customHeight="1">
      <c r="A21" s="385" t="s">
        <v>786</v>
      </c>
      <c r="B21" s="241" t="s">
        <v>787</v>
      </c>
      <c r="C21" s="309">
        <f>C22</f>
        <v>7819177</v>
      </c>
      <c r="D21" s="309">
        <f>D22</f>
        <v>7819177</v>
      </c>
      <c r="E21" s="386">
        <f>E22</f>
        <v>7819177</v>
      </c>
    </row>
    <row r="22" spans="1:5" ht="47.25">
      <c r="A22" s="387" t="s">
        <v>788</v>
      </c>
      <c r="B22" s="310" t="s">
        <v>92</v>
      </c>
      <c r="C22" s="311">
        <f>C23+C25+C27+C29</f>
        <v>7819177</v>
      </c>
      <c r="D22" s="311">
        <f>D23+D25+D27+D29</f>
        <v>7819177</v>
      </c>
      <c r="E22" s="388">
        <f>E23+E25+E27+E29</f>
        <v>7819177</v>
      </c>
    </row>
    <row r="23" spans="1:5" ht="81" customHeight="1">
      <c r="A23" s="383" t="s">
        <v>789</v>
      </c>
      <c r="B23" s="307" t="s">
        <v>251</v>
      </c>
      <c r="C23" s="308">
        <f>C24</f>
        <v>3571449</v>
      </c>
      <c r="D23" s="308">
        <f>D24</f>
        <v>3571449</v>
      </c>
      <c r="E23" s="384">
        <f>E24</f>
        <v>3571449</v>
      </c>
    </row>
    <row r="24" spans="1:5" ht="75.75" customHeight="1">
      <c r="A24" s="381" t="s">
        <v>244</v>
      </c>
      <c r="B24" s="71" t="s">
        <v>251</v>
      </c>
      <c r="C24" s="186">
        <v>3571449</v>
      </c>
      <c r="D24" s="186">
        <v>3571449</v>
      </c>
      <c r="E24" s="382">
        <v>3571449</v>
      </c>
    </row>
    <row r="25" spans="1:5" ht="96" customHeight="1">
      <c r="A25" s="383" t="s">
        <v>790</v>
      </c>
      <c r="B25" s="307" t="s">
        <v>189</v>
      </c>
      <c r="C25" s="308">
        <f>C26</f>
        <v>19303.29</v>
      </c>
      <c r="D25" s="308">
        <f>D26</f>
        <v>19303.29</v>
      </c>
      <c r="E25" s="384">
        <f>E26</f>
        <v>19303.29</v>
      </c>
    </row>
    <row r="26" spans="1:5" ht="96.75" customHeight="1">
      <c r="A26" s="381" t="s">
        <v>245</v>
      </c>
      <c r="B26" s="71" t="s">
        <v>189</v>
      </c>
      <c r="C26" s="186">
        <v>19303.29</v>
      </c>
      <c r="D26" s="186">
        <v>19303.29</v>
      </c>
      <c r="E26" s="382">
        <v>19303.29</v>
      </c>
    </row>
    <row r="27" spans="1:5" ht="79.5" customHeight="1">
      <c r="A27" s="383" t="s">
        <v>791</v>
      </c>
      <c r="B27" s="307" t="s">
        <v>555</v>
      </c>
      <c r="C27" s="308">
        <f>C28</f>
        <v>4783974.52</v>
      </c>
      <c r="D27" s="308">
        <f>D28</f>
        <v>4783974.52</v>
      </c>
      <c r="E27" s="384">
        <f>E28</f>
        <v>4783974.52</v>
      </c>
    </row>
    <row r="28" spans="1:5" ht="79.5" customHeight="1">
      <c r="A28" s="381" t="s">
        <v>246</v>
      </c>
      <c r="B28" s="71" t="s">
        <v>555</v>
      </c>
      <c r="C28" s="186">
        <v>4783974.52</v>
      </c>
      <c r="D28" s="186">
        <v>4783974.52</v>
      </c>
      <c r="E28" s="382">
        <v>4783974.52</v>
      </c>
    </row>
    <row r="29" spans="1:5" ht="81.75" customHeight="1">
      <c r="A29" s="383" t="s">
        <v>792</v>
      </c>
      <c r="B29" s="307" t="s">
        <v>556</v>
      </c>
      <c r="C29" s="308">
        <f>C30</f>
        <v>-555549.81</v>
      </c>
      <c r="D29" s="308">
        <f>D30</f>
        <v>-555549.81</v>
      </c>
      <c r="E29" s="384">
        <f>E30</f>
        <v>-555549.81</v>
      </c>
    </row>
    <row r="30" spans="1:5" ht="78.75" customHeight="1">
      <c r="A30" s="381" t="s">
        <v>247</v>
      </c>
      <c r="B30" s="71" t="s">
        <v>556</v>
      </c>
      <c r="C30" s="186">
        <v>-555549.81</v>
      </c>
      <c r="D30" s="186">
        <v>-555549.81</v>
      </c>
      <c r="E30" s="382">
        <v>-555549.81</v>
      </c>
    </row>
    <row r="31" spans="1:5" ht="15.75">
      <c r="A31" s="385" t="s">
        <v>793</v>
      </c>
      <c r="B31" s="241" t="s">
        <v>794</v>
      </c>
      <c r="C31" s="309">
        <f>C32+C35+C38</f>
        <v>3637000</v>
      </c>
      <c r="D31" s="309">
        <f>D32+D35+D38</f>
        <v>1958000</v>
      </c>
      <c r="E31" s="386">
        <f>E32+E35+E38</f>
        <v>1987000</v>
      </c>
    </row>
    <row r="32" spans="1:5" ht="31.5">
      <c r="A32" s="389" t="s">
        <v>795</v>
      </c>
      <c r="B32" s="312" t="s">
        <v>266</v>
      </c>
      <c r="C32" s="313">
        <f aca="true" t="shared" si="0" ref="C32:E33">C33</f>
        <v>2000000</v>
      </c>
      <c r="D32" s="313">
        <f t="shared" si="0"/>
        <v>0</v>
      </c>
      <c r="E32" s="390">
        <f t="shared" si="0"/>
        <v>0</v>
      </c>
    </row>
    <row r="33" spans="1:5" ht="31.5">
      <c r="A33" s="391" t="s">
        <v>796</v>
      </c>
      <c r="B33" s="189" t="s">
        <v>266</v>
      </c>
      <c r="C33" s="186">
        <f t="shared" si="0"/>
        <v>2000000</v>
      </c>
      <c r="D33" s="186">
        <f t="shared" si="0"/>
        <v>0</v>
      </c>
      <c r="E33" s="382">
        <f t="shared" si="0"/>
        <v>0</v>
      </c>
    </row>
    <row r="34" spans="1:5" ht="31.5">
      <c r="A34" s="391" t="s">
        <v>875</v>
      </c>
      <c r="B34" s="189" t="s">
        <v>266</v>
      </c>
      <c r="C34" s="186">
        <v>2000000</v>
      </c>
      <c r="D34" s="186"/>
      <c r="E34" s="382"/>
    </row>
    <row r="35" spans="1:5" ht="15.75">
      <c r="A35" s="392" t="s">
        <v>797</v>
      </c>
      <c r="B35" s="312" t="s">
        <v>293</v>
      </c>
      <c r="C35" s="313">
        <f aca="true" t="shared" si="1" ref="C35:E36">C36</f>
        <v>1167000</v>
      </c>
      <c r="D35" s="313">
        <f t="shared" si="1"/>
        <v>1458000</v>
      </c>
      <c r="E35" s="390">
        <f t="shared" si="1"/>
        <v>1487000</v>
      </c>
    </row>
    <row r="36" spans="1:5" ht="15.75">
      <c r="A36" s="391" t="s">
        <v>798</v>
      </c>
      <c r="B36" s="189" t="s">
        <v>293</v>
      </c>
      <c r="C36" s="186">
        <f t="shared" si="1"/>
        <v>1167000</v>
      </c>
      <c r="D36" s="186">
        <f t="shared" si="1"/>
        <v>1458000</v>
      </c>
      <c r="E36" s="382">
        <f t="shared" si="1"/>
        <v>1487000</v>
      </c>
    </row>
    <row r="37" spans="1:5" ht="15.75">
      <c r="A37" s="391" t="s">
        <v>799</v>
      </c>
      <c r="B37" s="189" t="s">
        <v>293</v>
      </c>
      <c r="C37" s="186">
        <v>1167000</v>
      </c>
      <c r="D37" s="186">
        <v>1458000</v>
      </c>
      <c r="E37" s="382">
        <v>1487000</v>
      </c>
    </row>
    <row r="38" spans="1:5" ht="31.5">
      <c r="A38" s="389" t="s">
        <v>800</v>
      </c>
      <c r="B38" s="312" t="s">
        <v>626</v>
      </c>
      <c r="C38" s="313">
        <f aca="true" t="shared" si="2" ref="C38:E39">C39</f>
        <v>470000</v>
      </c>
      <c r="D38" s="313">
        <f t="shared" si="2"/>
        <v>500000</v>
      </c>
      <c r="E38" s="390">
        <f t="shared" si="2"/>
        <v>500000</v>
      </c>
    </row>
    <row r="39" spans="1:5" ht="31.5">
      <c r="A39" s="391" t="s">
        <v>801</v>
      </c>
      <c r="B39" s="189" t="s">
        <v>626</v>
      </c>
      <c r="C39" s="186">
        <f t="shared" si="2"/>
        <v>470000</v>
      </c>
      <c r="D39" s="186">
        <f t="shared" si="2"/>
        <v>500000</v>
      </c>
      <c r="E39" s="382">
        <f t="shared" si="2"/>
        <v>500000</v>
      </c>
    </row>
    <row r="40" spans="1:5" ht="31.5">
      <c r="A40" s="391" t="s">
        <v>874</v>
      </c>
      <c r="B40" s="189" t="s">
        <v>626</v>
      </c>
      <c r="C40" s="186">
        <v>470000</v>
      </c>
      <c r="D40" s="186">
        <v>500000</v>
      </c>
      <c r="E40" s="382">
        <v>500000</v>
      </c>
    </row>
    <row r="41" spans="1:5" ht="15.75">
      <c r="A41" s="393" t="s">
        <v>877</v>
      </c>
      <c r="B41" s="314" t="s">
        <v>878</v>
      </c>
      <c r="C41" s="309">
        <f aca="true" t="shared" si="3" ref="C41:E43">C42</f>
        <v>450000</v>
      </c>
      <c r="D41" s="309">
        <f t="shared" si="3"/>
        <v>450000</v>
      </c>
      <c r="E41" s="386">
        <f t="shared" si="3"/>
        <v>450000</v>
      </c>
    </row>
    <row r="42" spans="1:5" ht="36.75" customHeight="1">
      <c r="A42" s="389" t="s">
        <v>879</v>
      </c>
      <c r="B42" s="312" t="s">
        <v>880</v>
      </c>
      <c r="C42" s="313">
        <f>C43</f>
        <v>450000</v>
      </c>
      <c r="D42" s="313">
        <f t="shared" si="3"/>
        <v>450000</v>
      </c>
      <c r="E42" s="390">
        <f t="shared" si="3"/>
        <v>450000</v>
      </c>
    </row>
    <row r="43" spans="1:5" ht="50.25" customHeight="1">
      <c r="A43" s="391" t="s">
        <v>1411</v>
      </c>
      <c r="B43" s="330" t="s">
        <v>882</v>
      </c>
      <c r="C43" s="329">
        <f>C44</f>
        <v>450000</v>
      </c>
      <c r="D43" s="329">
        <f t="shared" si="3"/>
        <v>450000</v>
      </c>
      <c r="E43" s="394">
        <f t="shared" si="3"/>
        <v>450000</v>
      </c>
    </row>
    <row r="44" spans="1:5" ht="45.75" customHeight="1">
      <c r="A44" s="391" t="s">
        <v>881</v>
      </c>
      <c r="B44" s="189" t="s">
        <v>882</v>
      </c>
      <c r="C44" s="186">
        <v>450000</v>
      </c>
      <c r="D44" s="186">
        <v>450000</v>
      </c>
      <c r="E44" s="382">
        <v>450000</v>
      </c>
    </row>
    <row r="45" spans="1:5" ht="47.25">
      <c r="A45" s="385" t="s">
        <v>802</v>
      </c>
      <c r="B45" s="241" t="s">
        <v>803</v>
      </c>
      <c r="C45" s="309">
        <f>C49+C58</f>
        <v>4131170</v>
      </c>
      <c r="D45" s="309">
        <f>D49+D58</f>
        <v>3280000</v>
      </c>
      <c r="E45" s="386">
        <f>E49+E58</f>
        <v>3285000</v>
      </c>
    </row>
    <row r="46" spans="1:5" ht="33.75" customHeight="1">
      <c r="A46" s="387" t="s">
        <v>804</v>
      </c>
      <c r="B46" s="310" t="s">
        <v>805</v>
      </c>
      <c r="C46" s="311">
        <f aca="true" t="shared" si="4" ref="C46:E47">C47</f>
        <v>0</v>
      </c>
      <c r="D46" s="311">
        <f t="shared" si="4"/>
        <v>0</v>
      </c>
      <c r="E46" s="388">
        <f t="shared" si="4"/>
        <v>0</v>
      </c>
    </row>
    <row r="47" spans="1:5" ht="47.25">
      <c r="A47" s="395" t="s">
        <v>806</v>
      </c>
      <c r="B47" s="315" t="s">
        <v>249</v>
      </c>
      <c r="C47" s="308">
        <f t="shared" si="4"/>
        <v>0</v>
      </c>
      <c r="D47" s="308">
        <f t="shared" si="4"/>
        <v>0</v>
      </c>
      <c r="E47" s="384">
        <f t="shared" si="4"/>
        <v>0</v>
      </c>
    </row>
    <row r="48" spans="1:5" ht="47.25">
      <c r="A48" s="396" t="s">
        <v>267</v>
      </c>
      <c r="B48" s="316" t="s">
        <v>249</v>
      </c>
      <c r="C48" s="186">
        <v>0</v>
      </c>
      <c r="D48" s="186">
        <v>0</v>
      </c>
      <c r="E48" s="382">
        <v>0</v>
      </c>
    </row>
    <row r="49" spans="1:5" ht="111.75" customHeight="1">
      <c r="A49" s="387" t="s">
        <v>807</v>
      </c>
      <c r="B49" s="310" t="s">
        <v>808</v>
      </c>
      <c r="C49" s="311">
        <f>C50+C55</f>
        <v>2781170</v>
      </c>
      <c r="D49" s="311">
        <f>D50+D55</f>
        <v>2730000</v>
      </c>
      <c r="E49" s="388">
        <f>E50+E55</f>
        <v>2735000</v>
      </c>
    </row>
    <row r="50" spans="1:5" ht="86.25" customHeight="1">
      <c r="A50" s="397" t="s">
        <v>809</v>
      </c>
      <c r="B50" s="307" t="s">
        <v>810</v>
      </c>
      <c r="C50" s="308">
        <f>C51+C53</f>
        <v>2541170</v>
      </c>
      <c r="D50" s="308">
        <f>D51+D53</f>
        <v>2495000</v>
      </c>
      <c r="E50" s="384">
        <f>E51+E53</f>
        <v>2500000</v>
      </c>
    </row>
    <row r="51" spans="1:5" ht="97.5" customHeight="1">
      <c r="A51" s="397" t="s">
        <v>995</v>
      </c>
      <c r="B51" s="317" t="s">
        <v>985</v>
      </c>
      <c r="C51" s="308">
        <f>SUM(C52:C52)</f>
        <v>2350000</v>
      </c>
      <c r="D51" s="308">
        <f>SUM(D52:D52)</f>
        <v>2300000</v>
      </c>
      <c r="E51" s="384">
        <f>SUM(E52:E52)</f>
        <v>2300000</v>
      </c>
    </row>
    <row r="52" spans="1:5" ht="110.25">
      <c r="A52" s="391" t="s">
        <v>989</v>
      </c>
      <c r="B52" s="234" t="s">
        <v>985</v>
      </c>
      <c r="C52" s="318">
        <v>2350000</v>
      </c>
      <c r="D52" s="318">
        <v>2300000</v>
      </c>
      <c r="E52" s="398">
        <v>2300000</v>
      </c>
    </row>
    <row r="53" spans="1:5" ht="94.5">
      <c r="A53" s="397" t="s">
        <v>991</v>
      </c>
      <c r="B53" s="317" t="s">
        <v>322</v>
      </c>
      <c r="C53" s="308">
        <f>C54</f>
        <v>191170</v>
      </c>
      <c r="D53" s="308">
        <f>D54</f>
        <v>195000</v>
      </c>
      <c r="E53" s="384">
        <f>E54</f>
        <v>200000</v>
      </c>
    </row>
    <row r="54" spans="1:5" ht="94.5">
      <c r="A54" s="391" t="s">
        <v>990</v>
      </c>
      <c r="B54" s="234" t="s">
        <v>322</v>
      </c>
      <c r="C54" s="318">
        <v>191170</v>
      </c>
      <c r="D54" s="318">
        <v>195000</v>
      </c>
      <c r="E54" s="398">
        <v>200000</v>
      </c>
    </row>
    <row r="55" spans="1:5" ht="100.5" customHeight="1">
      <c r="A55" s="379" t="s">
        <v>811</v>
      </c>
      <c r="B55" s="307" t="s">
        <v>812</v>
      </c>
      <c r="C55" s="308">
        <f aca="true" t="shared" si="5" ref="C55:E56">C56</f>
        <v>240000</v>
      </c>
      <c r="D55" s="308">
        <f t="shared" si="5"/>
        <v>235000</v>
      </c>
      <c r="E55" s="384">
        <f t="shared" si="5"/>
        <v>235000</v>
      </c>
    </row>
    <row r="56" spans="1:5" ht="94.5">
      <c r="A56" s="397" t="s">
        <v>813</v>
      </c>
      <c r="B56" s="317" t="s">
        <v>557</v>
      </c>
      <c r="C56" s="305">
        <f t="shared" si="5"/>
        <v>240000</v>
      </c>
      <c r="D56" s="305">
        <f t="shared" si="5"/>
        <v>235000</v>
      </c>
      <c r="E56" s="380">
        <f t="shared" si="5"/>
        <v>235000</v>
      </c>
    </row>
    <row r="57" spans="1:5" ht="94.5">
      <c r="A57" s="391" t="s">
        <v>340</v>
      </c>
      <c r="B57" s="234" t="s">
        <v>557</v>
      </c>
      <c r="C57" s="318">
        <v>240000</v>
      </c>
      <c r="D57" s="318">
        <v>235000</v>
      </c>
      <c r="E57" s="398">
        <v>235000</v>
      </c>
    </row>
    <row r="58" spans="1:5" ht="98.25" customHeight="1">
      <c r="A58" s="397" t="s">
        <v>814</v>
      </c>
      <c r="B58" s="317" t="s">
        <v>815</v>
      </c>
      <c r="C58" s="308">
        <f aca="true" t="shared" si="6" ref="C58:E60">C59</f>
        <v>1350000</v>
      </c>
      <c r="D58" s="308">
        <f t="shared" si="6"/>
        <v>550000</v>
      </c>
      <c r="E58" s="384">
        <f t="shared" si="6"/>
        <v>550000</v>
      </c>
    </row>
    <row r="59" spans="1:5" ht="94.5">
      <c r="A59" s="399" t="s">
        <v>816</v>
      </c>
      <c r="B59" s="319" t="s">
        <v>817</v>
      </c>
      <c r="C59" s="320">
        <f t="shared" si="6"/>
        <v>1350000</v>
      </c>
      <c r="D59" s="320">
        <f t="shared" si="6"/>
        <v>550000</v>
      </c>
      <c r="E59" s="400">
        <f t="shared" si="6"/>
        <v>550000</v>
      </c>
    </row>
    <row r="60" spans="1:5" ht="94.5">
      <c r="A60" s="397" t="s">
        <v>818</v>
      </c>
      <c r="B60" s="319" t="s">
        <v>17</v>
      </c>
      <c r="C60" s="320">
        <f t="shared" si="6"/>
        <v>1350000</v>
      </c>
      <c r="D60" s="320">
        <f t="shared" si="6"/>
        <v>550000</v>
      </c>
      <c r="E60" s="400">
        <f t="shared" si="6"/>
        <v>550000</v>
      </c>
    </row>
    <row r="61" spans="1:5" ht="94.5">
      <c r="A61" s="391" t="s">
        <v>306</v>
      </c>
      <c r="B61" s="189" t="s">
        <v>17</v>
      </c>
      <c r="C61" s="318">
        <v>1350000</v>
      </c>
      <c r="D61" s="318">
        <v>550000</v>
      </c>
      <c r="E61" s="398">
        <v>550000</v>
      </c>
    </row>
    <row r="62" spans="1:5" ht="31.5">
      <c r="A62" s="401" t="s">
        <v>819</v>
      </c>
      <c r="B62" s="314" t="s">
        <v>820</v>
      </c>
      <c r="C62" s="309">
        <f>C63</f>
        <v>1674100</v>
      </c>
      <c r="D62" s="309">
        <f>D63</f>
        <v>1741000</v>
      </c>
      <c r="E62" s="386">
        <f>E63</f>
        <v>1810600</v>
      </c>
    </row>
    <row r="63" spans="1:5" ht="31.5">
      <c r="A63" s="402" t="s">
        <v>821</v>
      </c>
      <c r="B63" s="321" t="s">
        <v>170</v>
      </c>
      <c r="C63" s="311">
        <f>C64+C66+C68</f>
        <v>1674100</v>
      </c>
      <c r="D63" s="311">
        <f>D64+D66+D68</f>
        <v>1741000</v>
      </c>
      <c r="E63" s="388">
        <f>E64+E66+E68</f>
        <v>1810600</v>
      </c>
    </row>
    <row r="64" spans="1:5" ht="33" customHeight="1">
      <c r="A64" s="397" t="s">
        <v>822</v>
      </c>
      <c r="B64" s="319" t="s">
        <v>167</v>
      </c>
      <c r="C64" s="308">
        <f>C65</f>
        <v>174100</v>
      </c>
      <c r="D64" s="308">
        <f>D65</f>
        <v>181100</v>
      </c>
      <c r="E64" s="384">
        <f>E65</f>
        <v>188300</v>
      </c>
    </row>
    <row r="65" spans="1:5" ht="31.5">
      <c r="A65" s="391" t="s">
        <v>290</v>
      </c>
      <c r="B65" s="189" t="s">
        <v>167</v>
      </c>
      <c r="C65" s="186">
        <v>174100</v>
      </c>
      <c r="D65" s="186">
        <v>181100</v>
      </c>
      <c r="E65" s="382">
        <v>188300</v>
      </c>
    </row>
    <row r="66" spans="1:5" ht="31.5">
      <c r="A66" s="397" t="s">
        <v>823</v>
      </c>
      <c r="B66" s="319" t="s">
        <v>116</v>
      </c>
      <c r="C66" s="320">
        <f>C67</f>
        <v>5500</v>
      </c>
      <c r="D66" s="320">
        <f>D67</f>
        <v>5700</v>
      </c>
      <c r="E66" s="400">
        <f>E67</f>
        <v>5900</v>
      </c>
    </row>
    <row r="67" spans="1:5" ht="31.5">
      <c r="A67" s="391" t="s">
        <v>55</v>
      </c>
      <c r="B67" s="189" t="s">
        <v>116</v>
      </c>
      <c r="C67" s="186">
        <v>5500</v>
      </c>
      <c r="D67" s="186">
        <v>5700</v>
      </c>
      <c r="E67" s="382">
        <v>5900</v>
      </c>
    </row>
    <row r="68" spans="1:5" ht="32.25" customHeight="1">
      <c r="A68" s="397" t="s">
        <v>824</v>
      </c>
      <c r="B68" s="319" t="s">
        <v>118</v>
      </c>
      <c r="C68" s="320">
        <f>C69</f>
        <v>1494500</v>
      </c>
      <c r="D68" s="320">
        <f>D69</f>
        <v>1554200</v>
      </c>
      <c r="E68" s="400">
        <f>E69</f>
        <v>1616400</v>
      </c>
    </row>
    <row r="69" spans="1:5" ht="32.25" customHeight="1">
      <c r="A69" s="391" t="s">
        <v>117</v>
      </c>
      <c r="B69" s="189" t="s">
        <v>118</v>
      </c>
      <c r="C69" s="186">
        <f>C70+C71</f>
        <v>1494500</v>
      </c>
      <c r="D69" s="186">
        <f>D70+D71</f>
        <v>1554200</v>
      </c>
      <c r="E69" s="382">
        <f>E70+E71</f>
        <v>1616400</v>
      </c>
    </row>
    <row r="70" spans="1:5" ht="15.75">
      <c r="A70" s="391" t="s">
        <v>1053</v>
      </c>
      <c r="B70" s="189" t="s">
        <v>1052</v>
      </c>
      <c r="C70" s="186">
        <v>19400</v>
      </c>
      <c r="D70" s="186">
        <v>20100</v>
      </c>
      <c r="E70" s="382">
        <v>20900</v>
      </c>
    </row>
    <row r="71" spans="1:5" ht="18" customHeight="1">
      <c r="A71" s="391" t="s">
        <v>1227</v>
      </c>
      <c r="B71" s="185" t="s">
        <v>1226</v>
      </c>
      <c r="C71" s="186">
        <v>1475100</v>
      </c>
      <c r="D71" s="186">
        <v>1534100</v>
      </c>
      <c r="E71" s="382">
        <v>1595500</v>
      </c>
    </row>
    <row r="72" spans="1:5" ht="49.5" customHeight="1">
      <c r="A72" s="401" t="s">
        <v>825</v>
      </c>
      <c r="B72" s="322" t="s">
        <v>826</v>
      </c>
      <c r="C72" s="309">
        <f aca="true" t="shared" si="7" ref="C72:E74">C73</f>
        <v>1653917</v>
      </c>
      <c r="D72" s="309">
        <f t="shared" si="7"/>
        <v>1653917</v>
      </c>
      <c r="E72" s="386">
        <f t="shared" si="7"/>
        <v>1653917</v>
      </c>
    </row>
    <row r="73" spans="1:5" ht="15.75">
      <c r="A73" s="402" t="s">
        <v>827</v>
      </c>
      <c r="B73" s="321" t="s">
        <v>828</v>
      </c>
      <c r="C73" s="311">
        <f t="shared" si="7"/>
        <v>1653917</v>
      </c>
      <c r="D73" s="311">
        <f t="shared" si="7"/>
        <v>1653917</v>
      </c>
      <c r="E73" s="388">
        <f t="shared" si="7"/>
        <v>1653917</v>
      </c>
    </row>
    <row r="74" spans="1:5" ht="15.75">
      <c r="A74" s="397" t="s">
        <v>829</v>
      </c>
      <c r="B74" s="319" t="s">
        <v>830</v>
      </c>
      <c r="C74" s="308">
        <f>C75</f>
        <v>1653917</v>
      </c>
      <c r="D74" s="308">
        <f t="shared" si="7"/>
        <v>1653917</v>
      </c>
      <c r="E74" s="384">
        <f t="shared" si="7"/>
        <v>1653917</v>
      </c>
    </row>
    <row r="75" spans="1:5" ht="31.5">
      <c r="A75" s="397" t="s">
        <v>331</v>
      </c>
      <c r="B75" s="319" t="s">
        <v>63</v>
      </c>
      <c r="C75" s="308">
        <f>C76+C77</f>
        <v>1653917</v>
      </c>
      <c r="D75" s="308">
        <f>D76+D77</f>
        <v>1653917</v>
      </c>
      <c r="E75" s="384">
        <f>E76+E77</f>
        <v>1653917</v>
      </c>
    </row>
    <row r="76" spans="1:5" ht="31.5">
      <c r="A76" s="391" t="s">
        <v>62</v>
      </c>
      <c r="B76" s="189" t="s">
        <v>63</v>
      </c>
      <c r="C76" s="318">
        <v>1400000</v>
      </c>
      <c r="D76" s="318">
        <v>1400000</v>
      </c>
      <c r="E76" s="398">
        <v>1400000</v>
      </c>
    </row>
    <row r="77" spans="1:5" ht="31.5">
      <c r="A77" s="391" t="s">
        <v>1266</v>
      </c>
      <c r="B77" s="189" t="s">
        <v>63</v>
      </c>
      <c r="C77" s="318">
        <v>253917</v>
      </c>
      <c r="D77" s="318">
        <v>253917</v>
      </c>
      <c r="E77" s="398">
        <v>253917</v>
      </c>
    </row>
    <row r="78" spans="1:5" ht="31.5">
      <c r="A78" s="401" t="s">
        <v>831</v>
      </c>
      <c r="B78" s="314" t="s">
        <v>832</v>
      </c>
      <c r="C78" s="309">
        <f>C79+C83</f>
        <v>510000</v>
      </c>
      <c r="D78" s="309">
        <f>D79+D83</f>
        <v>510000</v>
      </c>
      <c r="E78" s="386">
        <f>E79+E83</f>
        <v>510000</v>
      </c>
    </row>
    <row r="79" spans="1:5" ht="94.5">
      <c r="A79" s="402" t="s">
        <v>833</v>
      </c>
      <c r="B79" s="321" t="s">
        <v>834</v>
      </c>
      <c r="C79" s="311">
        <f aca="true" t="shared" si="8" ref="C79:E81">C80</f>
        <v>100000</v>
      </c>
      <c r="D79" s="311">
        <f t="shared" si="8"/>
        <v>100000</v>
      </c>
      <c r="E79" s="388">
        <f t="shared" si="8"/>
        <v>100000</v>
      </c>
    </row>
    <row r="80" spans="1:5" ht="110.25">
      <c r="A80" s="397" t="s">
        <v>835</v>
      </c>
      <c r="B80" s="319" t="s">
        <v>836</v>
      </c>
      <c r="C80" s="308">
        <f t="shared" si="8"/>
        <v>100000</v>
      </c>
      <c r="D80" s="308">
        <f t="shared" si="8"/>
        <v>100000</v>
      </c>
      <c r="E80" s="384">
        <f t="shared" si="8"/>
        <v>100000</v>
      </c>
    </row>
    <row r="81" spans="1:5" ht="110.25">
      <c r="A81" s="397" t="s">
        <v>837</v>
      </c>
      <c r="B81" s="319" t="s">
        <v>108</v>
      </c>
      <c r="C81" s="308">
        <f t="shared" si="8"/>
        <v>100000</v>
      </c>
      <c r="D81" s="308">
        <f t="shared" si="8"/>
        <v>100000</v>
      </c>
      <c r="E81" s="384">
        <f t="shared" si="8"/>
        <v>100000</v>
      </c>
    </row>
    <row r="82" spans="1:5" ht="110.25">
      <c r="A82" s="391" t="s">
        <v>307</v>
      </c>
      <c r="B82" s="189" t="s">
        <v>108</v>
      </c>
      <c r="C82" s="318">
        <v>100000</v>
      </c>
      <c r="D82" s="318">
        <v>100000</v>
      </c>
      <c r="E82" s="398">
        <v>100000</v>
      </c>
    </row>
    <row r="83" spans="1:5" ht="31.5">
      <c r="A83" s="402" t="s">
        <v>838</v>
      </c>
      <c r="B83" s="321" t="s">
        <v>839</v>
      </c>
      <c r="C83" s="311">
        <f>C84+C89</f>
        <v>410000</v>
      </c>
      <c r="D83" s="311">
        <f>D84+D89</f>
        <v>410000</v>
      </c>
      <c r="E83" s="388">
        <f>E84+E89</f>
        <v>410000</v>
      </c>
    </row>
    <row r="84" spans="1:5" ht="49.5" customHeight="1">
      <c r="A84" s="397" t="s">
        <v>840</v>
      </c>
      <c r="B84" s="319" t="s">
        <v>841</v>
      </c>
      <c r="C84" s="308">
        <f>C85+C87</f>
        <v>310000</v>
      </c>
      <c r="D84" s="308">
        <f>D85+D87</f>
        <v>310000</v>
      </c>
      <c r="E84" s="384">
        <f>E85+E87</f>
        <v>310000</v>
      </c>
    </row>
    <row r="85" spans="1:5" ht="66" customHeight="1">
      <c r="A85" s="397" t="s">
        <v>994</v>
      </c>
      <c r="B85" s="319" t="s">
        <v>992</v>
      </c>
      <c r="C85" s="308">
        <f>C86</f>
        <v>300000</v>
      </c>
      <c r="D85" s="308">
        <f>D86</f>
        <v>300000</v>
      </c>
      <c r="E85" s="384">
        <f>E86</f>
        <v>300000</v>
      </c>
    </row>
    <row r="86" spans="1:5" ht="62.25" customHeight="1">
      <c r="A86" s="391" t="s">
        <v>993</v>
      </c>
      <c r="B86" s="189" t="s">
        <v>992</v>
      </c>
      <c r="C86" s="318">
        <v>300000</v>
      </c>
      <c r="D86" s="318">
        <v>300000</v>
      </c>
      <c r="E86" s="398">
        <v>300000</v>
      </c>
    </row>
    <row r="87" spans="1:5" ht="50.25" customHeight="1">
      <c r="A87" s="397" t="s">
        <v>842</v>
      </c>
      <c r="B87" s="319" t="s">
        <v>323</v>
      </c>
      <c r="C87" s="308">
        <f>C88</f>
        <v>10000</v>
      </c>
      <c r="D87" s="308">
        <f>D88</f>
        <v>10000</v>
      </c>
      <c r="E87" s="384">
        <f>E88</f>
        <v>10000</v>
      </c>
    </row>
    <row r="88" spans="1:5" ht="48" customHeight="1">
      <c r="A88" s="391" t="s">
        <v>328</v>
      </c>
      <c r="B88" s="189" t="s">
        <v>323</v>
      </c>
      <c r="C88" s="318">
        <v>10000</v>
      </c>
      <c r="D88" s="318">
        <v>10000</v>
      </c>
      <c r="E88" s="398">
        <v>10000</v>
      </c>
    </row>
    <row r="89" spans="1:5" ht="63">
      <c r="A89" s="397" t="s">
        <v>843</v>
      </c>
      <c r="B89" s="319" t="s">
        <v>844</v>
      </c>
      <c r="C89" s="308">
        <f aca="true" t="shared" si="9" ref="C89:E90">C90</f>
        <v>100000</v>
      </c>
      <c r="D89" s="308">
        <f t="shared" si="9"/>
        <v>100000</v>
      </c>
      <c r="E89" s="384">
        <f t="shared" si="9"/>
        <v>100000</v>
      </c>
    </row>
    <row r="90" spans="1:5" ht="63">
      <c r="A90" s="403" t="s">
        <v>845</v>
      </c>
      <c r="B90" s="323" t="s">
        <v>109</v>
      </c>
      <c r="C90" s="308">
        <f t="shared" si="9"/>
        <v>100000</v>
      </c>
      <c r="D90" s="308">
        <f t="shared" si="9"/>
        <v>100000</v>
      </c>
      <c r="E90" s="384">
        <f t="shared" si="9"/>
        <v>100000</v>
      </c>
    </row>
    <row r="91" spans="1:5" ht="63">
      <c r="A91" s="404" t="s">
        <v>305</v>
      </c>
      <c r="B91" s="65" t="s">
        <v>109</v>
      </c>
      <c r="C91" s="318">
        <v>100000</v>
      </c>
      <c r="D91" s="318">
        <v>100000</v>
      </c>
      <c r="E91" s="398">
        <v>100000</v>
      </c>
    </row>
    <row r="92" spans="1:5" ht="15.75">
      <c r="A92" s="401" t="s">
        <v>846</v>
      </c>
      <c r="B92" s="314" t="s">
        <v>847</v>
      </c>
      <c r="C92" s="309">
        <f>C93</f>
        <v>55040</v>
      </c>
      <c r="D92" s="309">
        <f>D93</f>
        <v>0</v>
      </c>
      <c r="E92" s="386">
        <f>E93</f>
        <v>0</v>
      </c>
    </row>
    <row r="93" spans="1:5" ht="47.25">
      <c r="A93" s="402" t="s">
        <v>1281</v>
      </c>
      <c r="B93" s="321" t="s">
        <v>1282</v>
      </c>
      <c r="C93" s="311">
        <f>C94+C97+C100+C103+C106</f>
        <v>55040</v>
      </c>
      <c r="D93" s="311">
        <f>D94+D97+D100+D103+D106</f>
        <v>0</v>
      </c>
      <c r="E93" s="388">
        <f>E94+E97+E100+E103+E106</f>
        <v>0</v>
      </c>
    </row>
    <row r="94" spans="1:5" ht="66.75" customHeight="1">
      <c r="A94" s="397" t="s">
        <v>1283</v>
      </c>
      <c r="B94" s="319" t="s">
        <v>1284</v>
      </c>
      <c r="C94" s="308">
        <f aca="true" t="shared" si="10" ref="C94:E107">C95</f>
        <v>1040</v>
      </c>
      <c r="D94" s="308">
        <f t="shared" si="10"/>
        <v>0</v>
      </c>
      <c r="E94" s="384">
        <f t="shared" si="10"/>
        <v>0</v>
      </c>
    </row>
    <row r="95" spans="1:5" ht="100.5" customHeight="1">
      <c r="A95" s="405" t="s">
        <v>1285</v>
      </c>
      <c r="B95" s="324" t="s">
        <v>1286</v>
      </c>
      <c r="C95" s="325">
        <f>C96</f>
        <v>1040</v>
      </c>
      <c r="D95" s="325">
        <f t="shared" si="10"/>
        <v>0</v>
      </c>
      <c r="E95" s="406">
        <f t="shared" si="10"/>
        <v>0</v>
      </c>
    </row>
    <row r="96" spans="1:5" ht="99.75" customHeight="1">
      <c r="A96" s="391" t="s">
        <v>1443</v>
      </c>
      <c r="B96" s="189" t="s">
        <v>1286</v>
      </c>
      <c r="C96" s="186">
        <v>1040</v>
      </c>
      <c r="D96" s="186">
        <v>0</v>
      </c>
      <c r="E96" s="382">
        <v>0</v>
      </c>
    </row>
    <row r="97" spans="1:5" ht="105" customHeight="1">
      <c r="A97" s="397" t="s">
        <v>1287</v>
      </c>
      <c r="B97" s="319" t="s">
        <v>1290</v>
      </c>
      <c r="C97" s="308">
        <f t="shared" si="10"/>
        <v>9000</v>
      </c>
      <c r="D97" s="308">
        <f t="shared" si="10"/>
        <v>0</v>
      </c>
      <c r="E97" s="384">
        <f t="shared" si="10"/>
        <v>0</v>
      </c>
    </row>
    <row r="98" spans="1:5" ht="131.25" customHeight="1">
      <c r="A98" s="391" t="s">
        <v>1288</v>
      </c>
      <c r="B98" s="189" t="s">
        <v>1289</v>
      </c>
      <c r="C98" s="186">
        <f>C99</f>
        <v>9000</v>
      </c>
      <c r="D98" s="186">
        <f t="shared" si="10"/>
        <v>0</v>
      </c>
      <c r="E98" s="382">
        <f t="shared" si="10"/>
        <v>0</v>
      </c>
    </row>
    <row r="99" spans="1:5" ht="126.75" customHeight="1">
      <c r="A99" s="391" t="s">
        <v>1444</v>
      </c>
      <c r="B99" s="189" t="s">
        <v>1289</v>
      </c>
      <c r="C99" s="186">
        <v>9000</v>
      </c>
      <c r="D99" s="186">
        <v>0</v>
      </c>
      <c r="E99" s="382">
        <v>0</v>
      </c>
    </row>
    <row r="100" spans="1:5" ht="63.75" customHeight="1">
      <c r="A100" s="397" t="s">
        <v>1291</v>
      </c>
      <c r="B100" s="319" t="s">
        <v>1294</v>
      </c>
      <c r="C100" s="308">
        <f t="shared" si="10"/>
        <v>6000</v>
      </c>
      <c r="D100" s="308">
        <f t="shared" si="10"/>
        <v>0</v>
      </c>
      <c r="E100" s="384">
        <f t="shared" si="10"/>
        <v>0</v>
      </c>
    </row>
    <row r="101" spans="1:5" ht="93" customHeight="1">
      <c r="A101" s="391" t="s">
        <v>1292</v>
      </c>
      <c r="B101" s="200" t="s">
        <v>1293</v>
      </c>
      <c r="C101" s="186">
        <f>C102</f>
        <v>6000</v>
      </c>
      <c r="D101" s="186">
        <f t="shared" si="10"/>
        <v>0</v>
      </c>
      <c r="E101" s="382">
        <f t="shared" si="10"/>
        <v>0</v>
      </c>
    </row>
    <row r="102" spans="1:5" ht="93.75" customHeight="1">
      <c r="A102" s="391" t="s">
        <v>1445</v>
      </c>
      <c r="B102" s="200" t="s">
        <v>1293</v>
      </c>
      <c r="C102" s="186">
        <v>6000</v>
      </c>
      <c r="D102" s="186">
        <v>0</v>
      </c>
      <c r="E102" s="382">
        <v>0</v>
      </c>
    </row>
    <row r="103" spans="1:5" ht="67.5" customHeight="1">
      <c r="A103" s="397" t="s">
        <v>1295</v>
      </c>
      <c r="B103" s="326" t="s">
        <v>1298</v>
      </c>
      <c r="C103" s="308">
        <f t="shared" si="10"/>
        <v>30000</v>
      </c>
      <c r="D103" s="308">
        <f t="shared" si="10"/>
        <v>0</v>
      </c>
      <c r="E103" s="384">
        <f t="shared" si="10"/>
        <v>0</v>
      </c>
    </row>
    <row r="104" spans="1:5" ht="93" customHeight="1">
      <c r="A104" s="391" t="s">
        <v>1296</v>
      </c>
      <c r="B104" s="201" t="s">
        <v>1297</v>
      </c>
      <c r="C104" s="186">
        <f>C105</f>
        <v>30000</v>
      </c>
      <c r="D104" s="186">
        <f t="shared" si="10"/>
        <v>0</v>
      </c>
      <c r="E104" s="382">
        <f t="shared" si="10"/>
        <v>0</v>
      </c>
    </row>
    <row r="105" spans="1:5" ht="93" customHeight="1">
      <c r="A105" s="391" t="s">
        <v>1446</v>
      </c>
      <c r="B105" s="201" t="s">
        <v>1297</v>
      </c>
      <c r="C105" s="186">
        <v>30000</v>
      </c>
      <c r="D105" s="186">
        <v>0</v>
      </c>
      <c r="E105" s="382">
        <v>0</v>
      </c>
    </row>
    <row r="106" spans="1:5" ht="84.75" customHeight="1">
      <c r="A106" s="397" t="s">
        <v>1299</v>
      </c>
      <c r="B106" s="326" t="s">
        <v>1302</v>
      </c>
      <c r="C106" s="308">
        <f t="shared" si="10"/>
        <v>9000</v>
      </c>
      <c r="D106" s="308">
        <f t="shared" si="10"/>
        <v>0</v>
      </c>
      <c r="E106" s="384">
        <f t="shared" si="10"/>
        <v>0</v>
      </c>
    </row>
    <row r="107" spans="1:5" ht="93" customHeight="1">
      <c r="A107" s="407" t="s">
        <v>1300</v>
      </c>
      <c r="B107" s="201" t="s">
        <v>1301</v>
      </c>
      <c r="C107" s="186">
        <f>C108</f>
        <v>9000</v>
      </c>
      <c r="D107" s="186">
        <f t="shared" si="10"/>
        <v>0</v>
      </c>
      <c r="E107" s="382">
        <f t="shared" si="10"/>
        <v>0</v>
      </c>
    </row>
    <row r="108" spans="1:5" ht="93" customHeight="1">
      <c r="A108" s="407" t="s">
        <v>1447</v>
      </c>
      <c r="B108" s="201" t="s">
        <v>1301</v>
      </c>
      <c r="C108" s="186">
        <v>9000</v>
      </c>
      <c r="D108" s="186">
        <v>0</v>
      </c>
      <c r="E108" s="382">
        <v>0</v>
      </c>
    </row>
    <row r="109" spans="1:5" ht="15.75">
      <c r="A109" s="401" t="s">
        <v>848</v>
      </c>
      <c r="B109" s="314" t="s">
        <v>849</v>
      </c>
      <c r="C109" s="309">
        <f aca="true" t="shared" si="11" ref="C109:E110">C110</f>
        <v>0</v>
      </c>
      <c r="D109" s="309">
        <f t="shared" si="11"/>
        <v>0</v>
      </c>
      <c r="E109" s="386">
        <f t="shared" si="11"/>
        <v>0</v>
      </c>
    </row>
    <row r="110" spans="1:5" ht="15.75">
      <c r="A110" s="402" t="s">
        <v>850</v>
      </c>
      <c r="B110" s="321" t="s">
        <v>851</v>
      </c>
      <c r="C110" s="311">
        <f t="shared" si="11"/>
        <v>0</v>
      </c>
      <c r="D110" s="311">
        <f t="shared" si="11"/>
        <v>0</v>
      </c>
      <c r="E110" s="388">
        <f t="shared" si="11"/>
        <v>0</v>
      </c>
    </row>
    <row r="111" spans="1:5" ht="31.5">
      <c r="A111" s="397" t="s">
        <v>333</v>
      </c>
      <c r="B111" s="319" t="s">
        <v>49</v>
      </c>
      <c r="C111" s="308">
        <f>SUM(C112:C113)</f>
        <v>0</v>
      </c>
      <c r="D111" s="308">
        <f>SUM(D112:D113)</f>
        <v>0</v>
      </c>
      <c r="E111" s="384">
        <f>SUM(E112:E113)</f>
        <v>0</v>
      </c>
    </row>
    <row r="112" spans="1:5" ht="31.5">
      <c r="A112" s="391" t="s">
        <v>64</v>
      </c>
      <c r="B112" s="327" t="s">
        <v>147</v>
      </c>
      <c r="C112" s="318"/>
      <c r="D112" s="318"/>
      <c r="E112" s="398"/>
    </row>
    <row r="113" spans="1:5" ht="31.5">
      <c r="A113" s="391" t="s">
        <v>146</v>
      </c>
      <c r="B113" s="189" t="s">
        <v>147</v>
      </c>
      <c r="C113" s="318"/>
      <c r="D113" s="318"/>
      <c r="E113" s="398"/>
    </row>
    <row r="114" spans="1:8" ht="15.75">
      <c r="A114" s="479" t="s">
        <v>852</v>
      </c>
      <c r="B114" s="480" t="s">
        <v>65</v>
      </c>
      <c r="C114" s="481">
        <f>C115+C183</f>
        <v>290940768.79999995</v>
      </c>
      <c r="D114" s="481">
        <f>D115+D183</f>
        <v>238280898.05</v>
      </c>
      <c r="E114" s="482">
        <f>E115+E183</f>
        <v>236987388.3</v>
      </c>
      <c r="F114" s="285">
        <v>253570491.84</v>
      </c>
      <c r="G114" s="285">
        <v>240377363.05</v>
      </c>
      <c r="H114" s="285">
        <v>235533100.3</v>
      </c>
    </row>
    <row r="115" spans="1:8" ht="47.25">
      <c r="A115" s="401" t="s">
        <v>853</v>
      </c>
      <c r="B115" s="314" t="s">
        <v>854</v>
      </c>
      <c r="C115" s="309">
        <f>C116+C123+C157+C179</f>
        <v>290961170.71</v>
      </c>
      <c r="D115" s="309">
        <f>D116+D123+D157+D179</f>
        <v>238280898.05</v>
      </c>
      <c r="E115" s="386">
        <f>E116+E123+E157+E179</f>
        <v>236987388.3</v>
      </c>
      <c r="F115" s="285">
        <v>253570491.84</v>
      </c>
      <c r="G115" s="285">
        <v>240377363.05</v>
      </c>
      <c r="H115" s="285">
        <v>235533100.3</v>
      </c>
    </row>
    <row r="116" spans="1:8" ht="31.5">
      <c r="A116" s="393" t="s">
        <v>1078</v>
      </c>
      <c r="B116" s="314" t="s">
        <v>855</v>
      </c>
      <c r="C116" s="328">
        <f>C117+C120</f>
        <v>123173050</v>
      </c>
      <c r="D116" s="328">
        <f>D117+D120</f>
        <v>103087900</v>
      </c>
      <c r="E116" s="483">
        <f>E117+E120</f>
        <v>101831400</v>
      </c>
      <c r="F116" s="285">
        <v>120987930</v>
      </c>
      <c r="G116" s="285">
        <v>103087900</v>
      </c>
      <c r="H116" s="285">
        <v>103087900</v>
      </c>
    </row>
    <row r="117" spans="1:8" ht="22.5" customHeight="1">
      <c r="A117" s="397" t="s">
        <v>1077</v>
      </c>
      <c r="B117" s="484" t="s">
        <v>856</v>
      </c>
      <c r="C117" s="308">
        <f aca="true" t="shared" si="12" ref="C117:E118">C118</f>
        <v>110565900</v>
      </c>
      <c r="D117" s="308">
        <f t="shared" si="12"/>
        <v>103087900</v>
      </c>
      <c r="E117" s="384">
        <f t="shared" si="12"/>
        <v>101831400</v>
      </c>
      <c r="F117" s="285">
        <v>108400700</v>
      </c>
      <c r="G117" s="285">
        <v>103087900</v>
      </c>
      <c r="H117" s="285">
        <v>103087900</v>
      </c>
    </row>
    <row r="118" spans="1:8" ht="31.5">
      <c r="A118" s="397" t="s">
        <v>1076</v>
      </c>
      <c r="B118" s="337" t="s">
        <v>26</v>
      </c>
      <c r="C118" s="308">
        <f t="shared" si="12"/>
        <v>110565900</v>
      </c>
      <c r="D118" s="308">
        <f t="shared" si="12"/>
        <v>103087900</v>
      </c>
      <c r="E118" s="384">
        <f t="shared" si="12"/>
        <v>101831400</v>
      </c>
      <c r="F118" s="285">
        <v>108400700</v>
      </c>
      <c r="G118" s="285">
        <v>103087900</v>
      </c>
      <c r="H118" s="285">
        <v>103087900</v>
      </c>
    </row>
    <row r="119" spans="1:8" ht="31.5">
      <c r="A119" s="391" t="s">
        <v>1075</v>
      </c>
      <c r="B119" s="485" t="s">
        <v>26</v>
      </c>
      <c r="C119" s="318">
        <v>110565900</v>
      </c>
      <c r="D119" s="318">
        <v>103087900</v>
      </c>
      <c r="E119" s="398">
        <v>101831400</v>
      </c>
      <c r="F119" s="462">
        <v>108400700</v>
      </c>
      <c r="G119" s="463">
        <v>103087900</v>
      </c>
      <c r="H119" s="463">
        <v>103087900</v>
      </c>
    </row>
    <row r="120" spans="1:8" ht="31.5">
      <c r="A120" s="397" t="s">
        <v>1079</v>
      </c>
      <c r="B120" s="337" t="s">
        <v>180</v>
      </c>
      <c r="C120" s="308">
        <f aca="true" t="shared" si="13" ref="C120:E121">C121</f>
        <v>12607150</v>
      </c>
      <c r="D120" s="308">
        <f t="shared" si="13"/>
        <v>0</v>
      </c>
      <c r="E120" s="384">
        <f t="shared" si="13"/>
        <v>0</v>
      </c>
      <c r="F120" s="285"/>
      <c r="G120" s="285"/>
      <c r="H120" s="285"/>
    </row>
    <row r="121" spans="1:8" ht="47.25">
      <c r="A121" s="397" t="s">
        <v>1080</v>
      </c>
      <c r="B121" s="337" t="s">
        <v>172</v>
      </c>
      <c r="C121" s="308">
        <f t="shared" si="13"/>
        <v>12607150</v>
      </c>
      <c r="D121" s="308">
        <f t="shared" si="13"/>
        <v>0</v>
      </c>
      <c r="E121" s="384">
        <f t="shared" si="13"/>
        <v>0</v>
      </c>
      <c r="F121" s="285"/>
      <c r="G121" s="285"/>
      <c r="H121" s="285"/>
    </row>
    <row r="122" spans="1:8" ht="50.25" customHeight="1">
      <c r="A122" s="391" t="s">
        <v>1081</v>
      </c>
      <c r="B122" s="485" t="s">
        <v>172</v>
      </c>
      <c r="C122" s="186">
        <v>12607150</v>
      </c>
      <c r="D122" s="318"/>
      <c r="E122" s="398"/>
      <c r="F122" s="370">
        <v>12587230</v>
      </c>
      <c r="G122" s="464"/>
      <c r="H122" s="464"/>
    </row>
    <row r="123" spans="1:8" ht="31.5">
      <c r="A123" s="393" t="s">
        <v>1082</v>
      </c>
      <c r="B123" s="486" t="s">
        <v>857</v>
      </c>
      <c r="C123" s="328">
        <f>C124+C127+C130+C133+C148+C136+C145+C142+C139</f>
        <v>39192612.89</v>
      </c>
      <c r="D123" s="328">
        <f>D124+D127+D130+D133+D148+D136+D145+D142+D139</f>
        <v>457380</v>
      </c>
      <c r="E123" s="483">
        <f>E124+E127+E130+E133+E148+E136+E145+E142+E139</f>
        <v>457380</v>
      </c>
      <c r="F123" s="285">
        <v>5077648.83</v>
      </c>
      <c r="G123" s="285">
        <v>415800</v>
      </c>
      <c r="H123" s="285">
        <v>415800</v>
      </c>
    </row>
    <row r="124" spans="1:8" ht="96.75" customHeight="1">
      <c r="A124" s="402" t="s">
        <v>1083</v>
      </c>
      <c r="B124" s="338" t="s">
        <v>858</v>
      </c>
      <c r="C124" s="311">
        <f aca="true" t="shared" si="14" ref="C124:E125">C125</f>
        <v>0</v>
      </c>
      <c r="D124" s="311">
        <f t="shared" si="14"/>
        <v>0</v>
      </c>
      <c r="E124" s="388">
        <f>E125</f>
        <v>0</v>
      </c>
      <c r="F124" s="285"/>
      <c r="G124" s="285"/>
      <c r="H124" s="285"/>
    </row>
    <row r="125" spans="1:8" ht="97.5" customHeight="1">
      <c r="A125" s="397" t="s">
        <v>1084</v>
      </c>
      <c r="B125" s="339" t="s">
        <v>298</v>
      </c>
      <c r="C125" s="308">
        <f>C126</f>
        <v>0</v>
      </c>
      <c r="D125" s="308">
        <f t="shared" si="14"/>
        <v>0</v>
      </c>
      <c r="E125" s="384">
        <f t="shared" si="14"/>
        <v>0</v>
      </c>
      <c r="F125" s="285"/>
      <c r="G125" s="285"/>
      <c r="H125" s="285"/>
    </row>
    <row r="126" spans="1:8" ht="97.5" customHeight="1">
      <c r="A126" s="408" t="s">
        <v>1085</v>
      </c>
      <c r="B126" s="333" t="s">
        <v>298</v>
      </c>
      <c r="C126" s="186"/>
      <c r="D126" s="186"/>
      <c r="E126" s="382"/>
      <c r="F126" s="285"/>
      <c r="G126" s="285"/>
      <c r="H126" s="285"/>
    </row>
    <row r="127" spans="1:5" ht="69" customHeight="1">
      <c r="A127" s="402" t="s">
        <v>1086</v>
      </c>
      <c r="B127" s="340" t="s">
        <v>859</v>
      </c>
      <c r="C127" s="311">
        <f aca="true" t="shared" si="15" ref="C127:E128">C128</f>
        <v>0</v>
      </c>
      <c r="D127" s="311">
        <f t="shared" si="15"/>
        <v>0</v>
      </c>
      <c r="E127" s="388">
        <f t="shared" si="15"/>
        <v>0</v>
      </c>
    </row>
    <row r="128" spans="1:5" ht="65.25" customHeight="1">
      <c r="A128" s="397" t="s">
        <v>1087</v>
      </c>
      <c r="B128" s="337" t="s">
        <v>248</v>
      </c>
      <c r="C128" s="308">
        <f t="shared" si="15"/>
        <v>0</v>
      </c>
      <c r="D128" s="308">
        <f t="shared" si="15"/>
        <v>0</v>
      </c>
      <c r="E128" s="384">
        <f t="shared" si="15"/>
        <v>0</v>
      </c>
    </row>
    <row r="129" spans="1:5" ht="66" customHeight="1">
      <c r="A129" s="408" t="s">
        <v>1088</v>
      </c>
      <c r="B129" s="333" t="s">
        <v>248</v>
      </c>
      <c r="C129" s="186"/>
      <c r="D129" s="186"/>
      <c r="E129" s="382"/>
    </row>
    <row r="130" spans="1:5" ht="31.5">
      <c r="A130" s="402" t="s">
        <v>1089</v>
      </c>
      <c r="B130" s="340" t="s">
        <v>1010</v>
      </c>
      <c r="C130" s="311">
        <f aca="true" t="shared" si="16" ref="C130:E131">C131</f>
        <v>0</v>
      </c>
      <c r="D130" s="311">
        <f t="shared" si="16"/>
        <v>0</v>
      </c>
      <c r="E130" s="388">
        <f t="shared" si="16"/>
        <v>0</v>
      </c>
    </row>
    <row r="131" spans="1:5" ht="47.25">
      <c r="A131" s="397" t="s">
        <v>1090</v>
      </c>
      <c r="B131" s="337" t="s">
        <v>1009</v>
      </c>
      <c r="C131" s="308">
        <f t="shared" si="16"/>
        <v>0</v>
      </c>
      <c r="D131" s="308">
        <f t="shared" si="16"/>
        <v>0</v>
      </c>
      <c r="E131" s="384">
        <f t="shared" si="16"/>
        <v>0</v>
      </c>
    </row>
    <row r="132" spans="1:5" ht="51" customHeight="1">
      <c r="A132" s="409" t="s">
        <v>1091</v>
      </c>
      <c r="B132" s="341" t="s">
        <v>1008</v>
      </c>
      <c r="C132" s="329"/>
      <c r="D132" s="329"/>
      <c r="E132" s="394"/>
    </row>
    <row r="133" spans="1:5" ht="15.75">
      <c r="A133" s="402" t="s">
        <v>1092</v>
      </c>
      <c r="B133" s="340" t="s">
        <v>860</v>
      </c>
      <c r="C133" s="311">
        <f aca="true" t="shared" si="17" ref="C133:E134">C134</f>
        <v>0</v>
      </c>
      <c r="D133" s="311">
        <f t="shared" si="17"/>
        <v>0</v>
      </c>
      <c r="E133" s="388">
        <f t="shared" si="17"/>
        <v>0</v>
      </c>
    </row>
    <row r="134" spans="1:5" ht="31.5">
      <c r="A134" s="397" t="s">
        <v>1093</v>
      </c>
      <c r="B134" s="337" t="s">
        <v>768</v>
      </c>
      <c r="C134" s="308">
        <f t="shared" si="17"/>
        <v>0</v>
      </c>
      <c r="D134" s="308">
        <f t="shared" si="17"/>
        <v>0</v>
      </c>
      <c r="E134" s="384">
        <f t="shared" si="17"/>
        <v>0</v>
      </c>
    </row>
    <row r="135" spans="1:5" ht="36.75" customHeight="1">
      <c r="A135" s="408" t="s">
        <v>1094</v>
      </c>
      <c r="B135" s="333" t="s">
        <v>768</v>
      </c>
      <c r="C135" s="186"/>
      <c r="D135" s="186"/>
      <c r="E135" s="382"/>
    </row>
    <row r="136" spans="1:5" ht="65.25" customHeight="1">
      <c r="A136" s="402" t="s">
        <v>1232</v>
      </c>
      <c r="B136" s="340" t="s">
        <v>1233</v>
      </c>
      <c r="C136" s="311">
        <f aca="true" t="shared" si="18" ref="C136:E137">C137</f>
        <v>0</v>
      </c>
      <c r="D136" s="311">
        <f t="shared" si="18"/>
        <v>0</v>
      </c>
      <c r="E136" s="388">
        <f t="shared" si="18"/>
        <v>0</v>
      </c>
    </row>
    <row r="137" spans="1:5" ht="84.75" customHeight="1">
      <c r="A137" s="397" t="s">
        <v>1231</v>
      </c>
      <c r="B137" s="337" t="s">
        <v>1234</v>
      </c>
      <c r="C137" s="308">
        <f t="shared" si="18"/>
        <v>0</v>
      </c>
      <c r="D137" s="308">
        <f t="shared" si="18"/>
        <v>0</v>
      </c>
      <c r="E137" s="384">
        <f t="shared" si="18"/>
        <v>0</v>
      </c>
    </row>
    <row r="138" spans="1:5" ht="82.5" customHeight="1">
      <c r="A138" s="408" t="s">
        <v>1230</v>
      </c>
      <c r="B138" s="342" t="s">
        <v>1234</v>
      </c>
      <c r="C138" s="186"/>
      <c r="D138" s="186"/>
      <c r="E138" s="382"/>
    </row>
    <row r="139" spans="1:5" ht="69" customHeight="1">
      <c r="A139" s="402" t="s">
        <v>1476</v>
      </c>
      <c r="B139" s="340" t="s">
        <v>1477</v>
      </c>
      <c r="C139" s="311">
        <f aca="true" t="shared" si="19" ref="C139:E140">C140</f>
        <v>30525878</v>
      </c>
      <c r="D139" s="311">
        <f t="shared" si="19"/>
        <v>0</v>
      </c>
      <c r="E139" s="388">
        <f t="shared" si="19"/>
        <v>0</v>
      </c>
    </row>
    <row r="140" spans="1:5" ht="84" customHeight="1">
      <c r="A140" s="397" t="s">
        <v>1479</v>
      </c>
      <c r="B140" s="337" t="s">
        <v>1478</v>
      </c>
      <c r="C140" s="308">
        <f t="shared" si="19"/>
        <v>30525878</v>
      </c>
      <c r="D140" s="308">
        <f t="shared" si="19"/>
        <v>0</v>
      </c>
      <c r="E140" s="384">
        <f t="shared" si="19"/>
        <v>0</v>
      </c>
    </row>
    <row r="141" spans="1:5" ht="145.5" customHeight="1">
      <c r="A141" s="409" t="s">
        <v>1480</v>
      </c>
      <c r="B141" s="342" t="s">
        <v>1468</v>
      </c>
      <c r="C141" s="186">
        <v>30525878</v>
      </c>
      <c r="D141" s="186">
        <v>0</v>
      </c>
      <c r="E141" s="382">
        <v>0</v>
      </c>
    </row>
    <row r="142" spans="1:5" ht="70.5" customHeight="1">
      <c r="A142" s="402" t="s">
        <v>1472</v>
      </c>
      <c r="B142" s="340" t="s">
        <v>1474</v>
      </c>
      <c r="C142" s="311">
        <f aca="true" t="shared" si="20" ref="C142:E143">C143</f>
        <v>2234117.36</v>
      </c>
      <c r="D142" s="311">
        <f t="shared" si="20"/>
        <v>0</v>
      </c>
      <c r="E142" s="388">
        <f t="shared" si="20"/>
        <v>0</v>
      </c>
    </row>
    <row r="143" spans="1:5" ht="68.25" customHeight="1">
      <c r="A143" s="414" t="s">
        <v>1473</v>
      </c>
      <c r="B143" s="487" t="s">
        <v>1471</v>
      </c>
      <c r="C143" s="366">
        <f t="shared" si="20"/>
        <v>2234117.36</v>
      </c>
      <c r="D143" s="366">
        <f t="shared" si="20"/>
        <v>0</v>
      </c>
      <c r="E143" s="415">
        <f t="shared" si="20"/>
        <v>0</v>
      </c>
    </row>
    <row r="144" spans="1:5" ht="127.5" customHeight="1">
      <c r="A144" s="408" t="s">
        <v>1470</v>
      </c>
      <c r="B144" s="488" t="s">
        <v>1467</v>
      </c>
      <c r="C144" s="186">
        <v>2234117.36</v>
      </c>
      <c r="D144" s="186">
        <v>0</v>
      </c>
      <c r="E144" s="382">
        <v>0</v>
      </c>
    </row>
    <row r="145" spans="1:5" ht="49.5" customHeight="1">
      <c r="A145" s="402" t="s">
        <v>1252</v>
      </c>
      <c r="B145" s="340" t="s">
        <v>1255</v>
      </c>
      <c r="C145" s="311">
        <f aca="true" t="shared" si="21" ref="C145:E146">C146</f>
        <v>0</v>
      </c>
      <c r="D145" s="311">
        <f t="shared" si="21"/>
        <v>0</v>
      </c>
      <c r="E145" s="388">
        <f t="shared" si="21"/>
        <v>0</v>
      </c>
    </row>
    <row r="146" spans="1:5" ht="56.25" customHeight="1">
      <c r="A146" s="397" t="s">
        <v>1253</v>
      </c>
      <c r="B146" s="337" t="s">
        <v>1256</v>
      </c>
      <c r="C146" s="308">
        <f t="shared" si="21"/>
        <v>0</v>
      </c>
      <c r="D146" s="308">
        <f t="shared" si="21"/>
        <v>0</v>
      </c>
      <c r="E146" s="384">
        <f t="shared" si="21"/>
        <v>0</v>
      </c>
    </row>
    <row r="147" spans="1:5" ht="47.25">
      <c r="A147" s="408" t="s">
        <v>1254</v>
      </c>
      <c r="B147" s="342" t="s">
        <v>1256</v>
      </c>
      <c r="C147" s="186"/>
      <c r="D147" s="186"/>
      <c r="E147" s="382"/>
    </row>
    <row r="148" spans="1:8" ht="15.75">
      <c r="A148" s="410" t="s">
        <v>1095</v>
      </c>
      <c r="B148" s="343" t="s">
        <v>861</v>
      </c>
      <c r="C148" s="331">
        <f>C149</f>
        <v>6432617.53</v>
      </c>
      <c r="D148" s="331">
        <f>D149</f>
        <v>457380</v>
      </c>
      <c r="E148" s="411">
        <f>E149</f>
        <v>457380</v>
      </c>
      <c r="F148" s="285">
        <v>5077648.83</v>
      </c>
      <c r="G148" s="285">
        <v>415800</v>
      </c>
      <c r="H148" s="285">
        <v>415800</v>
      </c>
    </row>
    <row r="149" spans="1:8" ht="15.75">
      <c r="A149" s="399" t="s">
        <v>1096</v>
      </c>
      <c r="B149" s="344" t="s">
        <v>181</v>
      </c>
      <c r="C149" s="320">
        <f>SUM(C150:C156)</f>
        <v>6432617.53</v>
      </c>
      <c r="D149" s="320">
        <f>SUM(D150:D156)</f>
        <v>457380</v>
      </c>
      <c r="E149" s="400">
        <f>SUM(E150:E156)</f>
        <v>457380</v>
      </c>
      <c r="F149" s="285">
        <v>5077648.83</v>
      </c>
      <c r="G149" s="285">
        <v>415800</v>
      </c>
      <c r="H149" s="285">
        <v>415800</v>
      </c>
    </row>
    <row r="150" spans="1:8" ht="83.25" customHeight="1">
      <c r="A150" s="391" t="s">
        <v>1097</v>
      </c>
      <c r="B150" s="488" t="s">
        <v>209</v>
      </c>
      <c r="C150" s="186">
        <v>457380</v>
      </c>
      <c r="D150" s="186">
        <v>457380</v>
      </c>
      <c r="E150" s="382">
        <v>457380</v>
      </c>
      <c r="F150" s="371">
        <v>415800</v>
      </c>
      <c r="G150" s="186">
        <v>415800</v>
      </c>
      <c r="H150" s="186">
        <v>415800</v>
      </c>
    </row>
    <row r="151" spans="1:8" ht="96.75" customHeight="1">
      <c r="A151" s="408" t="s">
        <v>1097</v>
      </c>
      <c r="B151" s="332" t="s">
        <v>291</v>
      </c>
      <c r="C151" s="186">
        <v>4207701</v>
      </c>
      <c r="D151" s="186"/>
      <c r="E151" s="382"/>
      <c r="F151" s="370">
        <v>4041653</v>
      </c>
      <c r="G151" s="367"/>
      <c r="H151" s="367"/>
    </row>
    <row r="152" spans="1:6" ht="78.75" customHeight="1">
      <c r="A152" s="391" t="s">
        <v>1097</v>
      </c>
      <c r="B152" s="332" t="s">
        <v>743</v>
      </c>
      <c r="C152" s="186"/>
      <c r="D152" s="186"/>
      <c r="E152" s="382"/>
      <c r="F152" s="369"/>
    </row>
    <row r="153" spans="1:5" ht="78" customHeight="1">
      <c r="A153" s="391" t="s">
        <v>1097</v>
      </c>
      <c r="B153" s="332" t="s">
        <v>1013</v>
      </c>
      <c r="C153" s="186"/>
      <c r="D153" s="186"/>
      <c r="E153" s="382"/>
    </row>
    <row r="154" spans="1:5" ht="61.5" customHeight="1">
      <c r="A154" s="391" t="s">
        <v>1097</v>
      </c>
      <c r="B154" s="332" t="s">
        <v>752</v>
      </c>
      <c r="C154" s="186"/>
      <c r="D154" s="186"/>
      <c r="E154" s="382"/>
    </row>
    <row r="155" spans="1:5" ht="96.75" customHeight="1">
      <c r="A155" s="391" t="s">
        <v>1097</v>
      </c>
      <c r="B155" s="332" t="s">
        <v>1469</v>
      </c>
      <c r="C155" s="186">
        <v>1147340.7</v>
      </c>
      <c r="D155" s="186"/>
      <c r="E155" s="382"/>
    </row>
    <row r="156" spans="1:8" ht="112.5" customHeight="1">
      <c r="A156" s="408" t="s">
        <v>1097</v>
      </c>
      <c r="B156" s="332" t="s">
        <v>1064</v>
      </c>
      <c r="C156" s="186">
        <v>620195.83</v>
      </c>
      <c r="D156" s="186"/>
      <c r="E156" s="382"/>
      <c r="F156" s="370"/>
      <c r="G156" s="367"/>
      <c r="H156" s="367"/>
    </row>
    <row r="157" spans="1:8" ht="33" customHeight="1">
      <c r="A157" s="489" t="s">
        <v>1098</v>
      </c>
      <c r="B157" s="314" t="s">
        <v>771</v>
      </c>
      <c r="C157" s="490">
        <f>C158+C168+C171+C174</f>
        <v>128525823.07</v>
      </c>
      <c r="D157" s="490">
        <f>D158+D168+D171+D174</f>
        <v>134665933.3</v>
      </c>
      <c r="E157" s="491">
        <f>E158+E168+E171+E174</f>
        <v>134698608.3</v>
      </c>
      <c r="F157" s="285">
        <v>127435228.26</v>
      </c>
      <c r="G157" s="285">
        <v>136803978.3</v>
      </c>
      <c r="H157" s="285">
        <v>132029400.3</v>
      </c>
    </row>
    <row r="158" spans="1:8" ht="47.25">
      <c r="A158" s="410" t="s">
        <v>1099</v>
      </c>
      <c r="B158" s="321" t="s">
        <v>862</v>
      </c>
      <c r="C158" s="331">
        <f>C159</f>
        <v>2307951.5700000003</v>
      </c>
      <c r="D158" s="331">
        <f>D159</f>
        <v>2054394.3</v>
      </c>
      <c r="E158" s="411">
        <f>E159</f>
        <v>2054394.3</v>
      </c>
      <c r="F158" s="285">
        <v>2261536.01</v>
      </c>
      <c r="G158" s="285">
        <v>2049774.3</v>
      </c>
      <c r="H158" s="285">
        <v>2049774.3</v>
      </c>
    </row>
    <row r="159" spans="1:8" ht="48.75" customHeight="1">
      <c r="A159" s="399" t="s">
        <v>1100</v>
      </c>
      <c r="B159" s="319" t="s">
        <v>152</v>
      </c>
      <c r="C159" s="320">
        <f>SUM(C160:C167)</f>
        <v>2307951.5700000003</v>
      </c>
      <c r="D159" s="320">
        <f>SUM(D160:D167)</f>
        <v>2054394.3</v>
      </c>
      <c r="E159" s="400">
        <f>SUM(E160:E167)</f>
        <v>2054394.3</v>
      </c>
      <c r="F159" s="285">
        <v>2261536.01</v>
      </c>
      <c r="G159" s="285">
        <v>2049774.3</v>
      </c>
      <c r="H159" s="285">
        <v>2049774.3</v>
      </c>
    </row>
    <row r="160" spans="1:8" ht="63.75" customHeight="1">
      <c r="A160" s="391" t="s">
        <v>1101</v>
      </c>
      <c r="B160" s="492" t="s">
        <v>105</v>
      </c>
      <c r="C160" s="186">
        <v>433400.63</v>
      </c>
      <c r="D160" s="186">
        <v>403258</v>
      </c>
      <c r="E160" s="382">
        <v>403258</v>
      </c>
      <c r="F160" s="371">
        <v>433055.71</v>
      </c>
      <c r="G160" s="367"/>
      <c r="H160" s="367"/>
    </row>
    <row r="161" spans="1:6" ht="65.25" customHeight="1">
      <c r="A161" s="391" t="s">
        <v>1101</v>
      </c>
      <c r="B161" s="492" t="s">
        <v>106</v>
      </c>
      <c r="C161" s="186">
        <v>10666.5</v>
      </c>
      <c r="D161" s="186">
        <v>10666.5</v>
      </c>
      <c r="E161" s="382">
        <v>10666.5</v>
      </c>
      <c r="F161" s="368"/>
    </row>
    <row r="162" spans="1:5" ht="178.5" customHeight="1">
      <c r="A162" s="408" t="s">
        <v>1101</v>
      </c>
      <c r="B162" s="492" t="s">
        <v>1475</v>
      </c>
      <c r="C162" s="186">
        <v>298092</v>
      </c>
      <c r="D162" s="186">
        <v>293256</v>
      </c>
      <c r="E162" s="382">
        <v>293256</v>
      </c>
    </row>
    <row r="163" spans="1:5" ht="128.25" customHeight="1">
      <c r="A163" s="408" t="s">
        <v>1101</v>
      </c>
      <c r="B163" s="492" t="s">
        <v>107</v>
      </c>
      <c r="C163" s="186">
        <v>1217512.8</v>
      </c>
      <c r="D163" s="186">
        <v>1217512.8</v>
      </c>
      <c r="E163" s="382">
        <v>1217512.8</v>
      </c>
    </row>
    <row r="164" spans="1:5" ht="132.75" customHeight="1">
      <c r="A164" s="408" t="s">
        <v>1101</v>
      </c>
      <c r="B164" s="492" t="s">
        <v>18</v>
      </c>
      <c r="C164" s="186">
        <v>36345</v>
      </c>
      <c r="D164" s="186">
        <v>35942</v>
      </c>
      <c r="E164" s="382">
        <v>35942</v>
      </c>
    </row>
    <row r="165" spans="1:6" ht="141.75" customHeight="1">
      <c r="A165" s="408" t="s">
        <v>1101</v>
      </c>
      <c r="B165" s="492" t="s">
        <v>149</v>
      </c>
      <c r="C165" s="186">
        <v>140392</v>
      </c>
      <c r="D165" s="186"/>
      <c r="E165" s="382"/>
      <c r="F165" s="368"/>
    </row>
    <row r="166" spans="1:8" ht="145.5" customHeight="1">
      <c r="A166" s="408" t="s">
        <v>1101</v>
      </c>
      <c r="B166" s="492" t="s">
        <v>688</v>
      </c>
      <c r="C166" s="186">
        <v>120722.64</v>
      </c>
      <c r="D166" s="186">
        <v>42939</v>
      </c>
      <c r="E166" s="382">
        <v>42939</v>
      </c>
      <c r="F166" s="371">
        <v>79272</v>
      </c>
      <c r="G166" s="367"/>
      <c r="H166" s="367"/>
    </row>
    <row r="167" spans="1:8" ht="94.5">
      <c r="A167" s="408" t="s">
        <v>1101</v>
      </c>
      <c r="B167" s="281" t="s">
        <v>687</v>
      </c>
      <c r="C167" s="186">
        <v>50820</v>
      </c>
      <c r="D167" s="186">
        <v>50820</v>
      </c>
      <c r="E167" s="382">
        <v>50820</v>
      </c>
      <c r="F167" s="371">
        <v>46200</v>
      </c>
      <c r="G167" s="186">
        <v>46200</v>
      </c>
      <c r="H167" s="186">
        <v>46200</v>
      </c>
    </row>
    <row r="168" spans="1:8" ht="81" customHeight="1">
      <c r="A168" s="402" t="s">
        <v>1102</v>
      </c>
      <c r="B168" s="493" t="s">
        <v>1119</v>
      </c>
      <c r="C168" s="311">
        <f aca="true" t="shared" si="22" ref="C168:E169">C169</f>
        <v>4293828</v>
      </c>
      <c r="D168" s="311">
        <f t="shared" si="22"/>
        <v>4293828</v>
      </c>
      <c r="E168" s="388">
        <f t="shared" si="22"/>
        <v>4293828</v>
      </c>
      <c r="F168" s="368"/>
      <c r="G168" s="285">
        <v>6440742</v>
      </c>
      <c r="H168" s="285">
        <v>1671654</v>
      </c>
    </row>
    <row r="169" spans="1:8" ht="78.75">
      <c r="A169" s="397" t="s">
        <v>1103</v>
      </c>
      <c r="B169" s="317" t="s">
        <v>1014</v>
      </c>
      <c r="C169" s="308">
        <f t="shared" si="22"/>
        <v>4293828</v>
      </c>
      <c r="D169" s="308">
        <f t="shared" si="22"/>
        <v>4293828</v>
      </c>
      <c r="E169" s="384">
        <f t="shared" si="22"/>
        <v>4293828</v>
      </c>
      <c r="G169" s="285">
        <v>6440742</v>
      </c>
      <c r="H169" s="285">
        <v>1671654</v>
      </c>
    </row>
    <row r="170" spans="1:8" ht="78.75">
      <c r="A170" s="408" t="s">
        <v>1104</v>
      </c>
      <c r="B170" s="281" t="s">
        <v>1014</v>
      </c>
      <c r="C170" s="186">
        <v>4293828</v>
      </c>
      <c r="D170" s="186">
        <v>4293828</v>
      </c>
      <c r="E170" s="382">
        <v>4293828</v>
      </c>
      <c r="F170" s="371"/>
      <c r="G170" s="186">
        <v>6440742</v>
      </c>
      <c r="H170" s="186">
        <v>1671654</v>
      </c>
    </row>
    <row r="171" spans="1:8" ht="63">
      <c r="A171" s="402" t="s">
        <v>1105</v>
      </c>
      <c r="B171" s="493" t="s">
        <v>863</v>
      </c>
      <c r="C171" s="311">
        <f aca="true" t="shared" si="23" ref="C171:E172">C172</f>
        <v>9106</v>
      </c>
      <c r="D171" s="311">
        <f t="shared" si="23"/>
        <v>9739</v>
      </c>
      <c r="E171" s="388">
        <f t="shared" si="23"/>
        <v>42414</v>
      </c>
      <c r="F171" s="285">
        <v>5220</v>
      </c>
      <c r="G171" s="285">
        <v>5490</v>
      </c>
      <c r="H171" s="285">
        <v>0</v>
      </c>
    </row>
    <row r="172" spans="1:8" ht="78.75">
      <c r="A172" s="397" t="s">
        <v>1106</v>
      </c>
      <c r="B172" s="317" t="s">
        <v>735</v>
      </c>
      <c r="C172" s="308">
        <f t="shared" si="23"/>
        <v>9106</v>
      </c>
      <c r="D172" s="308">
        <f t="shared" si="23"/>
        <v>9739</v>
      </c>
      <c r="E172" s="384">
        <f t="shared" si="23"/>
        <v>42414</v>
      </c>
      <c r="F172" s="285">
        <v>5220</v>
      </c>
      <c r="G172" s="285">
        <v>5490</v>
      </c>
      <c r="H172" s="285">
        <v>0</v>
      </c>
    </row>
    <row r="173" spans="1:8" ht="87.75" customHeight="1">
      <c r="A173" s="408" t="s">
        <v>1107</v>
      </c>
      <c r="B173" s="333" t="s">
        <v>735</v>
      </c>
      <c r="C173" s="186">
        <v>9106</v>
      </c>
      <c r="D173" s="186">
        <v>9739</v>
      </c>
      <c r="E173" s="382">
        <v>42414</v>
      </c>
      <c r="F173" s="371">
        <v>5220</v>
      </c>
      <c r="G173" s="186">
        <v>5490</v>
      </c>
      <c r="H173" s="186"/>
    </row>
    <row r="174" spans="1:8" ht="15.75">
      <c r="A174" s="402" t="s">
        <v>1108</v>
      </c>
      <c r="B174" s="493" t="s">
        <v>864</v>
      </c>
      <c r="C174" s="311">
        <f>C175</f>
        <v>121914937.5</v>
      </c>
      <c r="D174" s="311">
        <f>D175</f>
        <v>128307972</v>
      </c>
      <c r="E174" s="388">
        <f>E175</f>
        <v>128307972</v>
      </c>
      <c r="F174" s="285">
        <v>120874644.25</v>
      </c>
      <c r="G174" s="285">
        <v>128307972</v>
      </c>
      <c r="H174" s="285">
        <v>128307972</v>
      </c>
    </row>
    <row r="175" spans="1:8" ht="17.25" customHeight="1">
      <c r="A175" s="397" t="s">
        <v>1109</v>
      </c>
      <c r="B175" s="317" t="s">
        <v>269</v>
      </c>
      <c r="C175" s="308">
        <f>SUM(C176:C178)</f>
        <v>121914937.5</v>
      </c>
      <c r="D175" s="308">
        <f>SUM(D176:D178)</f>
        <v>128307972</v>
      </c>
      <c r="E175" s="384">
        <f>SUM(E176:E178)</f>
        <v>128307972</v>
      </c>
      <c r="F175" s="285">
        <v>120874644.25</v>
      </c>
      <c r="G175" s="285">
        <v>128307972</v>
      </c>
      <c r="H175" s="285">
        <v>128307972</v>
      </c>
    </row>
    <row r="176" spans="1:8" ht="161.25" customHeight="1">
      <c r="A176" s="408" t="s">
        <v>1110</v>
      </c>
      <c r="B176" s="492" t="s">
        <v>1303</v>
      </c>
      <c r="C176" s="186">
        <v>42301019</v>
      </c>
      <c r="D176" s="186">
        <v>44867894</v>
      </c>
      <c r="E176" s="382">
        <v>44867894</v>
      </c>
      <c r="F176" s="371">
        <v>41850440</v>
      </c>
      <c r="G176" s="367"/>
      <c r="H176" s="367"/>
    </row>
    <row r="177" spans="1:8" ht="212.25" customHeight="1">
      <c r="A177" s="408" t="s">
        <v>1110</v>
      </c>
      <c r="B177" s="492" t="s">
        <v>1065</v>
      </c>
      <c r="C177" s="186">
        <v>73569735.5</v>
      </c>
      <c r="D177" s="186">
        <v>76707041</v>
      </c>
      <c r="E177" s="382">
        <v>76707041</v>
      </c>
      <c r="F177" s="370">
        <v>73023561.5</v>
      </c>
      <c r="G177" s="367"/>
      <c r="H177" s="367"/>
    </row>
    <row r="178" spans="1:8" ht="195.75" customHeight="1">
      <c r="A178" s="408" t="s">
        <v>1110</v>
      </c>
      <c r="B178" s="492" t="s">
        <v>1066</v>
      </c>
      <c r="C178" s="186">
        <v>6044183</v>
      </c>
      <c r="D178" s="186">
        <v>6733037</v>
      </c>
      <c r="E178" s="382">
        <v>6733037</v>
      </c>
      <c r="F178" s="370">
        <v>6000642.75</v>
      </c>
      <c r="G178" s="367"/>
      <c r="H178" s="367"/>
    </row>
    <row r="179" spans="1:5" ht="15.75">
      <c r="A179" s="401" t="s">
        <v>1111</v>
      </c>
      <c r="B179" s="334" t="s">
        <v>224</v>
      </c>
      <c r="C179" s="309">
        <f aca="true" t="shared" si="24" ref="C179:E180">C180</f>
        <v>69684.75</v>
      </c>
      <c r="D179" s="309">
        <f t="shared" si="24"/>
        <v>69684.75</v>
      </c>
      <c r="E179" s="386">
        <f t="shared" si="24"/>
        <v>0</v>
      </c>
    </row>
    <row r="180" spans="1:5" ht="67.5" customHeight="1">
      <c r="A180" s="412" t="s">
        <v>1304</v>
      </c>
      <c r="B180" s="362" t="s">
        <v>1305</v>
      </c>
      <c r="C180" s="363">
        <f t="shared" si="24"/>
        <v>69684.75</v>
      </c>
      <c r="D180" s="363">
        <f t="shared" si="24"/>
        <v>69684.75</v>
      </c>
      <c r="E180" s="413">
        <f t="shared" si="24"/>
        <v>0</v>
      </c>
    </row>
    <row r="181" spans="1:5" ht="83.25" customHeight="1">
      <c r="A181" s="414" t="s">
        <v>1306</v>
      </c>
      <c r="B181" s="365" t="s">
        <v>1269</v>
      </c>
      <c r="C181" s="366">
        <f>C182</f>
        <v>69684.75</v>
      </c>
      <c r="D181" s="366">
        <f>D182</f>
        <v>69684.75</v>
      </c>
      <c r="E181" s="415">
        <f>E182</f>
        <v>0</v>
      </c>
    </row>
    <row r="182" spans="1:5" ht="80.25" customHeight="1">
      <c r="A182" s="409" t="s">
        <v>1267</v>
      </c>
      <c r="B182" s="494" t="s">
        <v>1269</v>
      </c>
      <c r="C182" s="329">
        <v>69684.75</v>
      </c>
      <c r="D182" s="329">
        <v>69684.75</v>
      </c>
      <c r="E182" s="394"/>
    </row>
    <row r="183" spans="1:5" ht="65.25" customHeight="1">
      <c r="A183" s="401" t="s">
        <v>865</v>
      </c>
      <c r="B183" s="335" t="s">
        <v>866</v>
      </c>
      <c r="C183" s="309">
        <f>C184</f>
        <v>-20401.91</v>
      </c>
      <c r="D183" s="309">
        <f>D184</f>
        <v>0</v>
      </c>
      <c r="E183" s="386">
        <f>E184</f>
        <v>0</v>
      </c>
    </row>
    <row r="184" spans="1:5" ht="66" customHeight="1">
      <c r="A184" s="402" t="s">
        <v>1112</v>
      </c>
      <c r="B184" s="361" t="s">
        <v>179</v>
      </c>
      <c r="C184" s="311">
        <f aca="true" t="shared" si="25" ref="C184:E185">C185</f>
        <v>-20401.91</v>
      </c>
      <c r="D184" s="311">
        <f t="shared" si="25"/>
        <v>0</v>
      </c>
      <c r="E184" s="388">
        <f t="shared" si="25"/>
        <v>0</v>
      </c>
    </row>
    <row r="185" spans="1:5" ht="63.75" customHeight="1">
      <c r="A185" s="397" t="s">
        <v>1113</v>
      </c>
      <c r="B185" s="364" t="s">
        <v>739</v>
      </c>
      <c r="C185" s="308">
        <f t="shared" si="25"/>
        <v>-20401.91</v>
      </c>
      <c r="D185" s="308">
        <f t="shared" si="25"/>
        <v>0</v>
      </c>
      <c r="E185" s="384">
        <f t="shared" si="25"/>
        <v>0</v>
      </c>
    </row>
    <row r="186" spans="1:5" ht="63">
      <c r="A186" s="409" t="s">
        <v>1114</v>
      </c>
      <c r="B186" s="336" t="s">
        <v>739</v>
      </c>
      <c r="C186" s="329">
        <v>-20401.91</v>
      </c>
      <c r="D186" s="329"/>
      <c r="E186" s="394"/>
    </row>
    <row r="187" spans="1:5" ht="16.5" thickBot="1">
      <c r="A187" s="416"/>
      <c r="B187" s="417" t="s">
        <v>112</v>
      </c>
      <c r="C187" s="418">
        <f>C114+C10</f>
        <v>359433212.79999995</v>
      </c>
      <c r="D187" s="418">
        <f>D114+D10</f>
        <v>304586422.05</v>
      </c>
      <c r="E187" s="419">
        <f>E114+E10</f>
        <v>303666902.3</v>
      </c>
    </row>
    <row r="188" ht="12.75">
      <c r="B188" s="188"/>
    </row>
    <row r="189" ht="12.75">
      <c r="B189" s="188"/>
    </row>
    <row r="190" ht="337.5" customHeight="1">
      <c r="B190" s="188"/>
    </row>
    <row r="191" ht="12.75">
      <c r="B191" s="188"/>
    </row>
    <row r="192" ht="12.75">
      <c r="B192" s="188"/>
    </row>
    <row r="193" ht="12.75">
      <c r="B193" s="188"/>
    </row>
    <row r="194" ht="12.75">
      <c r="B194" s="188"/>
    </row>
    <row r="195" ht="12.75">
      <c r="B195" s="188"/>
    </row>
  </sheetData>
  <sheetProtection/>
  <mergeCells count="7">
    <mergeCell ref="C2:E2"/>
    <mergeCell ref="F3:H3"/>
    <mergeCell ref="A4:C4"/>
    <mergeCell ref="A5:E5"/>
    <mergeCell ref="A7:A8"/>
    <mergeCell ref="B7:B8"/>
    <mergeCell ref="C7:E7"/>
  </mergeCells>
  <printOptions/>
  <pageMargins left="0.54" right="0.46" top="0.38" bottom="0.42" header="0.23" footer="0.27"/>
  <pageSetup fitToHeight="0" fitToWidth="1" horizontalDpi="600" verticalDpi="600" orientation="portrait" paperSize="9" scale="61" r:id="rId1"/>
  <rowBreaks count="2" manualBreakCount="2">
    <brk id="68" max="7" man="1"/>
    <brk id="9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91"/>
  <sheetViews>
    <sheetView view="pageBreakPreview" zoomScaleSheetLayoutView="100" zoomScalePageLayoutView="0" workbookViewId="0" topLeftCell="A82">
      <selection activeCell="C8" sqref="C8:C9"/>
    </sheetView>
  </sheetViews>
  <sheetFormatPr defaultColWidth="9.140625" defaultRowHeight="12.75"/>
  <cols>
    <col min="1" max="1" width="8.7109375" style="191" customWidth="1"/>
    <col min="2" max="2" width="27.28125" style="191" customWidth="1"/>
    <col min="3" max="3" width="69.8515625" style="130" customWidth="1"/>
  </cols>
  <sheetData>
    <row r="1" spans="1:3" ht="15.75">
      <c r="A1" s="353"/>
      <c r="B1" s="353"/>
      <c r="C1" s="40" t="s">
        <v>72</v>
      </c>
    </row>
    <row r="2" spans="1:3" ht="15.75">
      <c r="A2" s="509" t="s">
        <v>113</v>
      </c>
      <c r="B2" s="509"/>
      <c r="C2" s="509"/>
    </row>
    <row r="3" spans="1:3" ht="15.75">
      <c r="A3" s="353"/>
      <c r="B3" s="509" t="s">
        <v>1459</v>
      </c>
      <c r="C3" s="509"/>
    </row>
    <row r="4" ht="12.75">
      <c r="B4" s="354"/>
    </row>
    <row r="5" spans="1:3" ht="30.75" customHeight="1">
      <c r="A5" s="521" t="s">
        <v>1273</v>
      </c>
      <c r="B5" s="521"/>
      <c r="C5" s="521"/>
    </row>
    <row r="6" spans="1:5" ht="15.75">
      <c r="A6" s="507" t="s">
        <v>1460</v>
      </c>
      <c r="B6" s="507"/>
      <c r="C6" s="507"/>
      <c r="D6" s="36"/>
      <c r="E6" s="36"/>
    </row>
    <row r="7" spans="1:3" ht="16.5" thickBot="1">
      <c r="A7" s="175"/>
      <c r="B7" s="175"/>
      <c r="C7" s="3"/>
    </row>
    <row r="8" spans="1:3" ht="16.5" thickBot="1">
      <c r="A8" s="522" t="s">
        <v>73</v>
      </c>
      <c r="B8" s="522"/>
      <c r="C8" s="522" t="s">
        <v>74</v>
      </c>
    </row>
    <row r="9" spans="1:3" ht="51.75" thickBot="1">
      <c r="A9" s="179" t="s">
        <v>75</v>
      </c>
      <c r="B9" s="168" t="s">
        <v>76</v>
      </c>
      <c r="C9" s="522"/>
    </row>
    <row r="10" spans="1:3" ht="16.5" thickBot="1">
      <c r="A10" s="168">
        <v>1</v>
      </c>
      <c r="B10" s="168">
        <v>2</v>
      </c>
      <c r="C10" s="75">
        <v>3</v>
      </c>
    </row>
    <row r="11" spans="1:3" ht="16.5" thickBot="1">
      <c r="A11" s="347" t="s">
        <v>1449</v>
      </c>
      <c r="B11" s="520" t="s">
        <v>1448</v>
      </c>
      <c r="C11" s="520"/>
    </row>
    <row r="12" spans="1:3" ht="79.5" thickBot="1">
      <c r="A12" s="181" t="s">
        <v>1449</v>
      </c>
      <c r="B12" s="177" t="s">
        <v>1412</v>
      </c>
      <c r="C12" s="234" t="s">
        <v>1286</v>
      </c>
    </row>
    <row r="13" spans="1:3" ht="95.25" thickBot="1">
      <c r="A13" s="181" t="s">
        <v>1449</v>
      </c>
      <c r="B13" s="177" t="s">
        <v>1413</v>
      </c>
      <c r="C13" s="234" t="s">
        <v>1289</v>
      </c>
    </row>
    <row r="14" spans="1:3" ht="79.5" thickBot="1">
      <c r="A14" s="181" t="s">
        <v>1449</v>
      </c>
      <c r="B14" s="177" t="s">
        <v>1414</v>
      </c>
      <c r="C14" s="346" t="s">
        <v>1293</v>
      </c>
    </row>
    <row r="15" spans="1:3" ht="79.5" thickBot="1">
      <c r="A15" s="181" t="s">
        <v>1449</v>
      </c>
      <c r="B15" s="177" t="s">
        <v>1416</v>
      </c>
      <c r="C15" s="65" t="s">
        <v>1297</v>
      </c>
    </row>
    <row r="16" spans="1:3" ht="83.25" customHeight="1" thickBot="1">
      <c r="A16" s="181" t="s">
        <v>1449</v>
      </c>
      <c r="B16" s="177" t="s">
        <v>1415</v>
      </c>
      <c r="C16" s="65" t="s">
        <v>1301</v>
      </c>
    </row>
    <row r="17" spans="1:3" ht="16.5" thickBot="1">
      <c r="A17" s="180" t="s">
        <v>114</v>
      </c>
      <c r="B17" s="522" t="s">
        <v>115</v>
      </c>
      <c r="C17" s="522"/>
    </row>
    <row r="18" spans="1:3" ht="32.25" thickBot="1">
      <c r="A18" s="174" t="s">
        <v>114</v>
      </c>
      <c r="B18" s="176" t="s">
        <v>77</v>
      </c>
      <c r="C18" s="11" t="s">
        <v>153</v>
      </c>
    </row>
    <row r="19" spans="1:3" ht="32.25" thickBot="1">
      <c r="A19" s="174" t="s">
        <v>114</v>
      </c>
      <c r="B19" s="176" t="s">
        <v>78</v>
      </c>
      <c r="C19" s="11" t="s">
        <v>183</v>
      </c>
    </row>
    <row r="20" spans="1:3" ht="48" thickBot="1">
      <c r="A20" s="174" t="s">
        <v>114</v>
      </c>
      <c r="B20" s="176" t="s">
        <v>79</v>
      </c>
      <c r="C20" s="11" t="s">
        <v>54</v>
      </c>
    </row>
    <row r="21" spans="1:3" ht="32.25" thickBot="1">
      <c r="A21" s="174" t="s">
        <v>114</v>
      </c>
      <c r="B21" s="176" t="s">
        <v>80</v>
      </c>
      <c r="C21" s="11" t="s">
        <v>81</v>
      </c>
    </row>
    <row r="22" spans="1:3" ht="32.25" thickBot="1">
      <c r="A22" s="174" t="s">
        <v>114</v>
      </c>
      <c r="B22" s="176" t="s">
        <v>82</v>
      </c>
      <c r="C22" s="11" t="s">
        <v>16</v>
      </c>
    </row>
    <row r="23" spans="1:3" ht="16.5" thickBot="1">
      <c r="A23" s="174" t="s">
        <v>114</v>
      </c>
      <c r="B23" s="176" t="s">
        <v>83</v>
      </c>
      <c r="C23" s="11" t="s">
        <v>49</v>
      </c>
    </row>
    <row r="24" spans="1:3" ht="95.25" thickBot="1">
      <c r="A24" s="181" t="s">
        <v>114</v>
      </c>
      <c r="B24" s="177" t="s">
        <v>1178</v>
      </c>
      <c r="C24" s="167" t="s">
        <v>225</v>
      </c>
    </row>
    <row r="25" spans="1:3" ht="32.25" thickBot="1">
      <c r="A25" s="174" t="s">
        <v>114</v>
      </c>
      <c r="B25" s="176" t="s">
        <v>1120</v>
      </c>
      <c r="C25" s="11" t="s">
        <v>26</v>
      </c>
    </row>
    <row r="26" spans="1:3" ht="32.25" thickBot="1">
      <c r="A26" s="174" t="s">
        <v>114</v>
      </c>
      <c r="B26" s="176" t="s">
        <v>1121</v>
      </c>
      <c r="C26" s="11" t="s">
        <v>172</v>
      </c>
    </row>
    <row r="27" spans="1:3" ht="16.5" thickBot="1">
      <c r="A27" s="174" t="s">
        <v>114</v>
      </c>
      <c r="B27" s="176" t="s">
        <v>1122</v>
      </c>
      <c r="C27" s="11" t="s">
        <v>27</v>
      </c>
    </row>
    <row r="28" spans="1:3" ht="38.25" customHeight="1" thickBot="1">
      <c r="A28" s="174" t="s">
        <v>114</v>
      </c>
      <c r="B28" s="176" t="s">
        <v>1123</v>
      </c>
      <c r="C28" s="134" t="s">
        <v>1008</v>
      </c>
    </row>
    <row r="29" spans="1:3" ht="48" thickBot="1">
      <c r="A29" s="174" t="s">
        <v>114</v>
      </c>
      <c r="B29" s="86" t="s">
        <v>1124</v>
      </c>
      <c r="C29" s="297" t="s">
        <v>248</v>
      </c>
    </row>
    <row r="30" spans="1:3" ht="79.5" thickBot="1">
      <c r="A30" s="174" t="s">
        <v>114</v>
      </c>
      <c r="B30" s="86" t="s">
        <v>1125</v>
      </c>
      <c r="C30" s="297" t="s">
        <v>298</v>
      </c>
    </row>
    <row r="31" spans="1:3" ht="32.25" thickBot="1">
      <c r="A31" s="174" t="s">
        <v>114</v>
      </c>
      <c r="B31" s="86" t="s">
        <v>1126</v>
      </c>
      <c r="C31" s="297" t="s">
        <v>768</v>
      </c>
    </row>
    <row r="32" spans="1:3" ht="63.75" thickBot="1">
      <c r="A32" s="174" t="s">
        <v>114</v>
      </c>
      <c r="B32" s="86" t="s">
        <v>1235</v>
      </c>
      <c r="C32" s="187" t="s">
        <v>1234</v>
      </c>
    </row>
    <row r="33" spans="1:3" ht="48" thickBot="1">
      <c r="A33" s="174" t="s">
        <v>114</v>
      </c>
      <c r="B33" s="86" t="s">
        <v>1257</v>
      </c>
      <c r="C33" s="187" t="s">
        <v>1256</v>
      </c>
    </row>
    <row r="34" spans="1:3" ht="16.5" thickBot="1">
      <c r="A34" s="174" t="s">
        <v>114</v>
      </c>
      <c r="B34" s="176" t="s">
        <v>1127</v>
      </c>
      <c r="C34" s="11" t="s">
        <v>181</v>
      </c>
    </row>
    <row r="35" spans="1:3" ht="32.25" thickBot="1">
      <c r="A35" s="174" t="s">
        <v>114</v>
      </c>
      <c r="B35" s="176" t="s">
        <v>1128</v>
      </c>
      <c r="C35" s="11" t="s">
        <v>152</v>
      </c>
    </row>
    <row r="36" spans="1:3" ht="63.75" thickBot="1">
      <c r="A36" s="174" t="s">
        <v>114</v>
      </c>
      <c r="B36" s="176" t="s">
        <v>1129</v>
      </c>
      <c r="C36" s="11" t="s">
        <v>1014</v>
      </c>
    </row>
    <row r="37" spans="1:3" ht="63.75" thickBot="1">
      <c r="A37" s="174" t="s">
        <v>114</v>
      </c>
      <c r="B37" s="30" t="s">
        <v>1130</v>
      </c>
      <c r="C37" s="31" t="s">
        <v>735</v>
      </c>
    </row>
    <row r="38" spans="1:3" ht="16.5" thickBot="1">
      <c r="A38" s="174" t="s">
        <v>114</v>
      </c>
      <c r="B38" s="176" t="s">
        <v>1131</v>
      </c>
      <c r="C38" s="11" t="s">
        <v>269</v>
      </c>
    </row>
    <row r="39" spans="1:3" ht="32.25" thickBot="1">
      <c r="A39" s="174" t="s">
        <v>114</v>
      </c>
      <c r="B39" s="176" t="s">
        <v>1132</v>
      </c>
      <c r="C39" s="11" t="s">
        <v>270</v>
      </c>
    </row>
    <row r="40" spans="1:3" ht="32.25" thickBot="1">
      <c r="A40" s="174" t="s">
        <v>114</v>
      </c>
      <c r="B40" s="176" t="s">
        <v>1133</v>
      </c>
      <c r="C40" s="11" t="s">
        <v>25</v>
      </c>
    </row>
    <row r="41" spans="1:3" ht="63.75" thickBot="1">
      <c r="A41" s="174" t="s">
        <v>114</v>
      </c>
      <c r="B41" s="177" t="s">
        <v>1134</v>
      </c>
      <c r="C41" s="134" t="s">
        <v>318</v>
      </c>
    </row>
    <row r="42" spans="1:3" ht="32.25" thickBot="1">
      <c r="A42" s="174" t="s">
        <v>114</v>
      </c>
      <c r="B42" s="176" t="s">
        <v>1135</v>
      </c>
      <c r="C42" s="11" t="s">
        <v>325</v>
      </c>
    </row>
    <row r="43" spans="1:3" ht="63.75" thickBot="1">
      <c r="A43" s="174" t="s">
        <v>114</v>
      </c>
      <c r="B43" s="176" t="s">
        <v>1268</v>
      </c>
      <c r="C43" s="11" t="s">
        <v>1269</v>
      </c>
    </row>
    <row r="44" spans="1:3" ht="48" thickBot="1">
      <c r="A44" s="174" t="s">
        <v>114</v>
      </c>
      <c r="B44" s="29" t="s">
        <v>1136</v>
      </c>
      <c r="C44" s="135" t="s">
        <v>739</v>
      </c>
    </row>
    <row r="45" spans="1:3" ht="39" customHeight="1" thickBot="1">
      <c r="A45" s="180" t="s">
        <v>148</v>
      </c>
      <c r="B45" s="522" t="s">
        <v>1450</v>
      </c>
      <c r="C45" s="522"/>
    </row>
    <row r="46" spans="1:3" ht="32.25" thickBot="1">
      <c r="A46" s="174" t="s">
        <v>148</v>
      </c>
      <c r="B46" s="29" t="s">
        <v>586</v>
      </c>
      <c r="C46" s="28" t="s">
        <v>167</v>
      </c>
    </row>
    <row r="47" spans="1:3" ht="32.25" thickBot="1">
      <c r="A47" s="174" t="s">
        <v>148</v>
      </c>
      <c r="B47" s="29" t="s">
        <v>587</v>
      </c>
      <c r="C47" s="28" t="s">
        <v>177</v>
      </c>
    </row>
    <row r="48" spans="1:3" ht="16.5" thickBot="1">
      <c r="A48" s="174" t="s">
        <v>148</v>
      </c>
      <c r="B48" s="29" t="s">
        <v>588</v>
      </c>
      <c r="C48" s="28" t="s">
        <v>116</v>
      </c>
    </row>
    <row r="49" spans="1:3" ht="16.5" thickBot="1">
      <c r="A49" s="174" t="s">
        <v>148</v>
      </c>
      <c r="B49" s="29" t="s">
        <v>589</v>
      </c>
      <c r="C49" s="28" t="s">
        <v>118</v>
      </c>
    </row>
    <row r="50" spans="1:3" ht="16.5" thickBot="1">
      <c r="A50" s="174" t="s">
        <v>148</v>
      </c>
      <c r="B50" s="157" t="s">
        <v>1228</v>
      </c>
      <c r="C50" s="158" t="s">
        <v>1052</v>
      </c>
    </row>
    <row r="51" spans="1:3" ht="16.5" thickBot="1">
      <c r="A51" s="174" t="s">
        <v>148</v>
      </c>
      <c r="B51" s="184" t="s">
        <v>1229</v>
      </c>
      <c r="C51" s="189" t="s">
        <v>1226</v>
      </c>
    </row>
    <row r="52" spans="1:3" ht="16.5" thickBot="1">
      <c r="A52" s="168">
        <v>100</v>
      </c>
      <c r="B52" s="522" t="s">
        <v>171</v>
      </c>
      <c r="C52" s="522"/>
    </row>
    <row r="53" spans="1:3" ht="63.75" thickBot="1">
      <c r="A53" s="176">
        <v>100</v>
      </c>
      <c r="B53" s="176" t="s">
        <v>582</v>
      </c>
      <c r="C53" s="27" t="s">
        <v>251</v>
      </c>
    </row>
    <row r="54" spans="1:3" ht="79.5" thickBot="1">
      <c r="A54" s="176">
        <v>100</v>
      </c>
      <c r="B54" s="176" t="s">
        <v>583</v>
      </c>
      <c r="C54" s="27" t="s">
        <v>189</v>
      </c>
    </row>
    <row r="55" spans="1:3" ht="63.75" thickBot="1">
      <c r="A55" s="176">
        <v>100</v>
      </c>
      <c r="B55" s="176" t="s">
        <v>584</v>
      </c>
      <c r="C55" s="27" t="s">
        <v>555</v>
      </c>
    </row>
    <row r="56" spans="1:3" ht="63.75" thickBot="1">
      <c r="A56" s="176">
        <v>100</v>
      </c>
      <c r="B56" s="176" t="s">
        <v>585</v>
      </c>
      <c r="C56" s="27" t="s">
        <v>556</v>
      </c>
    </row>
    <row r="57" spans="1:3" ht="16.5" thickBot="1">
      <c r="A57" s="168">
        <v>182</v>
      </c>
      <c r="B57" s="522" t="s">
        <v>169</v>
      </c>
      <c r="C57" s="522"/>
    </row>
    <row r="58" spans="1:3" ht="79.5" thickBot="1">
      <c r="A58" s="176">
        <v>182</v>
      </c>
      <c r="B58" s="176" t="s">
        <v>578</v>
      </c>
      <c r="C58" s="11" t="s">
        <v>174</v>
      </c>
    </row>
    <row r="59" spans="1:3" ht="111" thickBot="1">
      <c r="A59" s="176">
        <v>182</v>
      </c>
      <c r="B59" s="176" t="s">
        <v>579</v>
      </c>
      <c r="C59" s="134" t="s">
        <v>184</v>
      </c>
    </row>
    <row r="60" spans="1:3" ht="48" thickBot="1">
      <c r="A60" s="176">
        <v>182</v>
      </c>
      <c r="B60" s="176" t="s">
        <v>580</v>
      </c>
      <c r="C60" s="27" t="s">
        <v>29</v>
      </c>
    </row>
    <row r="61" spans="1:3" ht="95.25" thickBot="1">
      <c r="A61" s="176">
        <v>182</v>
      </c>
      <c r="B61" s="176" t="s">
        <v>581</v>
      </c>
      <c r="C61" s="27" t="s">
        <v>738</v>
      </c>
    </row>
    <row r="62" spans="1:3" ht="32.25" thickBot="1">
      <c r="A62" s="176">
        <v>182</v>
      </c>
      <c r="B62" s="29" t="s">
        <v>867</v>
      </c>
      <c r="C62" s="28" t="s">
        <v>266</v>
      </c>
    </row>
    <row r="63" spans="1:3" ht="16.5" thickBot="1">
      <c r="A63" s="176">
        <v>182</v>
      </c>
      <c r="B63" s="29" t="s">
        <v>868</v>
      </c>
      <c r="C63" s="28" t="s">
        <v>293</v>
      </c>
    </row>
    <row r="64" spans="1:3" ht="48" thickBot="1">
      <c r="A64" s="176">
        <v>182</v>
      </c>
      <c r="B64" s="29" t="s">
        <v>736</v>
      </c>
      <c r="C64" s="28" t="s">
        <v>737</v>
      </c>
    </row>
    <row r="65" spans="1:3" ht="16.5" thickBot="1">
      <c r="A65" s="180" t="s">
        <v>154</v>
      </c>
      <c r="B65" s="522" t="s">
        <v>155</v>
      </c>
      <c r="C65" s="522"/>
    </row>
    <row r="66" spans="1:3" ht="32.25" thickBot="1">
      <c r="A66" s="174" t="s">
        <v>154</v>
      </c>
      <c r="B66" s="105" t="s">
        <v>308</v>
      </c>
      <c r="C66" s="27" t="s">
        <v>309</v>
      </c>
    </row>
    <row r="67" spans="1:3" ht="83.25" customHeight="1" thickBot="1">
      <c r="A67" s="174" t="s">
        <v>154</v>
      </c>
      <c r="B67" s="105" t="s">
        <v>984</v>
      </c>
      <c r="C67" s="27" t="s">
        <v>985</v>
      </c>
    </row>
    <row r="68" spans="1:3" ht="79.5" thickBot="1">
      <c r="A68" s="174" t="s">
        <v>154</v>
      </c>
      <c r="B68" s="178" t="s">
        <v>321</v>
      </c>
      <c r="C68" s="11" t="s">
        <v>322</v>
      </c>
    </row>
    <row r="69" spans="1:3" ht="79.5" thickBot="1">
      <c r="A69" s="174">
        <v>900</v>
      </c>
      <c r="B69" s="176" t="s">
        <v>213</v>
      </c>
      <c r="C69" s="11" t="s">
        <v>258</v>
      </c>
    </row>
    <row r="70" spans="1:3" ht="48" thickBot="1">
      <c r="A70" s="174">
        <v>900</v>
      </c>
      <c r="B70" s="176" t="s">
        <v>1240</v>
      </c>
      <c r="C70" s="11" t="s">
        <v>214</v>
      </c>
    </row>
    <row r="71" spans="1:3" ht="79.5" thickBot="1">
      <c r="A71" s="174">
        <v>900</v>
      </c>
      <c r="B71" s="176" t="s">
        <v>215</v>
      </c>
      <c r="C71" s="11" t="s">
        <v>71</v>
      </c>
    </row>
    <row r="72" spans="1:3" ht="79.5" thickBot="1">
      <c r="A72" s="176">
        <v>900</v>
      </c>
      <c r="B72" s="176" t="s">
        <v>219</v>
      </c>
      <c r="C72" s="134" t="s">
        <v>1</v>
      </c>
    </row>
    <row r="73" spans="1:3" ht="32.25" thickBot="1">
      <c r="A73" s="174">
        <v>900</v>
      </c>
      <c r="B73" s="176" t="s">
        <v>78</v>
      </c>
      <c r="C73" s="11" t="s">
        <v>183</v>
      </c>
    </row>
    <row r="74" spans="1:3" ht="63.75" thickBot="1">
      <c r="A74" s="174" t="s">
        <v>154</v>
      </c>
      <c r="B74" s="176" t="s">
        <v>217</v>
      </c>
      <c r="C74" s="11" t="s">
        <v>145</v>
      </c>
    </row>
    <row r="75" spans="1:3" ht="95.25" thickBot="1">
      <c r="A75" s="174">
        <v>900</v>
      </c>
      <c r="B75" s="176" t="s">
        <v>218</v>
      </c>
      <c r="C75" s="134" t="s">
        <v>0</v>
      </c>
    </row>
    <row r="76" spans="1:3" ht="63.75" thickBot="1">
      <c r="A76" s="174" t="s">
        <v>154</v>
      </c>
      <c r="B76" s="176" t="s">
        <v>996</v>
      </c>
      <c r="C76" s="27" t="s">
        <v>992</v>
      </c>
    </row>
    <row r="77" spans="1:3" ht="48" thickBot="1">
      <c r="A77" s="174" t="s">
        <v>154</v>
      </c>
      <c r="B77" s="176" t="s">
        <v>324</v>
      </c>
      <c r="C77" s="27" t="s">
        <v>323</v>
      </c>
    </row>
    <row r="78" spans="1:3" ht="79.5" thickBot="1">
      <c r="A78" s="174" t="s">
        <v>154</v>
      </c>
      <c r="B78" s="176" t="s">
        <v>1451</v>
      </c>
      <c r="C78" s="27" t="s">
        <v>1452</v>
      </c>
    </row>
    <row r="79" spans="1:3" ht="32.25" thickBot="1">
      <c r="A79" s="181">
        <v>900</v>
      </c>
      <c r="B79" s="177" t="s">
        <v>82</v>
      </c>
      <c r="C79" s="167" t="s">
        <v>16</v>
      </c>
    </row>
    <row r="80" spans="1:3" ht="16.5" thickBot="1">
      <c r="A80" s="174">
        <v>900</v>
      </c>
      <c r="B80" s="176" t="s">
        <v>83</v>
      </c>
      <c r="C80" s="11" t="s">
        <v>49</v>
      </c>
    </row>
    <row r="81" spans="1:3" ht="16.5" thickBot="1">
      <c r="A81" s="180" t="s">
        <v>128</v>
      </c>
      <c r="B81" s="522" t="s">
        <v>127</v>
      </c>
      <c r="C81" s="522"/>
    </row>
    <row r="82" spans="1:3" ht="32.25" thickBot="1">
      <c r="A82" s="181" t="s">
        <v>128</v>
      </c>
      <c r="B82" s="177" t="s">
        <v>82</v>
      </c>
      <c r="C82" s="167" t="s">
        <v>16</v>
      </c>
    </row>
    <row r="83" spans="1:3" ht="16.5" thickBot="1">
      <c r="A83" s="174" t="s">
        <v>128</v>
      </c>
      <c r="B83" s="176" t="s">
        <v>83</v>
      </c>
      <c r="C83" s="11" t="s">
        <v>49</v>
      </c>
    </row>
    <row r="84" spans="1:3" ht="16.5" thickBot="1">
      <c r="A84" s="180">
        <v>909</v>
      </c>
      <c r="B84" s="522" t="s">
        <v>90</v>
      </c>
      <c r="C84" s="522"/>
    </row>
    <row r="85" spans="1:3" ht="32.25" thickBot="1">
      <c r="A85" s="174">
        <v>909</v>
      </c>
      <c r="B85" s="176" t="s">
        <v>78</v>
      </c>
      <c r="C85" s="11" t="s">
        <v>216</v>
      </c>
    </row>
    <row r="86" spans="1:3" ht="32.25" thickBot="1">
      <c r="A86" s="174">
        <v>909</v>
      </c>
      <c r="B86" s="176" t="s">
        <v>82</v>
      </c>
      <c r="C86" s="190" t="s">
        <v>16</v>
      </c>
    </row>
    <row r="87" spans="1:3" ht="16.5" thickBot="1">
      <c r="A87" s="174">
        <v>909</v>
      </c>
      <c r="B87" s="176" t="s">
        <v>83</v>
      </c>
      <c r="C87" s="11" t="s">
        <v>49</v>
      </c>
    </row>
    <row r="88" spans="1:3" ht="16.5" thickBot="1">
      <c r="A88" s="180" t="s">
        <v>295</v>
      </c>
      <c r="B88" s="522" t="s">
        <v>250</v>
      </c>
      <c r="C88" s="522"/>
    </row>
    <row r="89" spans="1:3" ht="32.25" thickBot="1">
      <c r="A89" s="181" t="s">
        <v>295</v>
      </c>
      <c r="B89" s="177" t="s">
        <v>78</v>
      </c>
      <c r="C89" s="167" t="s">
        <v>183</v>
      </c>
    </row>
    <row r="90" spans="1:3" ht="32.25" thickBot="1">
      <c r="A90" s="174" t="s">
        <v>295</v>
      </c>
      <c r="B90" s="176" t="s">
        <v>82</v>
      </c>
      <c r="C90" s="190" t="s">
        <v>16</v>
      </c>
    </row>
    <row r="91" spans="1:3" ht="16.5" thickBot="1">
      <c r="A91" s="174" t="s">
        <v>295</v>
      </c>
      <c r="B91" s="176" t="s">
        <v>83</v>
      </c>
      <c r="C91" s="11" t="s">
        <v>49</v>
      </c>
    </row>
  </sheetData>
  <sheetProtection/>
  <mergeCells count="15">
    <mergeCell ref="B45:C45"/>
    <mergeCell ref="B81:C81"/>
    <mergeCell ref="B57:C57"/>
    <mergeCell ref="B52:C52"/>
    <mergeCell ref="B17:C17"/>
    <mergeCell ref="B88:C88"/>
    <mergeCell ref="B65:C65"/>
    <mergeCell ref="B84:C84"/>
    <mergeCell ref="B11:C11"/>
    <mergeCell ref="A2:C2"/>
    <mergeCell ref="B3:C3"/>
    <mergeCell ref="A5:C5"/>
    <mergeCell ref="A6:C6"/>
    <mergeCell ref="A8:B8"/>
    <mergeCell ref="C8:C9"/>
  </mergeCells>
  <printOptions/>
  <pageMargins left="0.53" right="0.37" top="0.42" bottom="0.52" header="0.24" footer="0.1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80" zoomScaleSheetLayoutView="80" zoomScalePageLayoutView="0" workbookViewId="0" topLeftCell="A1">
      <selection activeCell="C25" sqref="C25"/>
    </sheetView>
  </sheetViews>
  <sheetFormatPr defaultColWidth="9.140625" defaultRowHeight="12.75"/>
  <cols>
    <col min="1" max="1" width="29.140625" style="130" customWidth="1"/>
    <col min="2" max="2" width="58.7109375" style="130" customWidth="1"/>
    <col min="3" max="3" width="20.00390625" style="130" customWidth="1"/>
    <col min="4" max="5" width="17.140625" style="130" customWidth="1"/>
    <col min="6" max="16384" width="9.140625" style="130" customWidth="1"/>
  </cols>
  <sheetData>
    <row r="1" spans="1:5" ht="15.75">
      <c r="A1" s="1"/>
      <c r="C1" s="42"/>
      <c r="D1" s="42"/>
      <c r="E1" s="40" t="s">
        <v>91</v>
      </c>
    </row>
    <row r="2" spans="1:5" ht="15.75">
      <c r="A2" s="1"/>
      <c r="C2" s="509" t="s">
        <v>113</v>
      </c>
      <c r="D2" s="509"/>
      <c r="E2" s="509"/>
    </row>
    <row r="3" spans="1:5" ht="15.75">
      <c r="A3" s="1"/>
      <c r="B3" s="1"/>
      <c r="C3" s="106"/>
      <c r="D3" s="40"/>
      <c r="E3" s="40" t="s">
        <v>1458</v>
      </c>
    </row>
    <row r="4" spans="1:5" ht="15.75">
      <c r="A4" s="1"/>
      <c r="B4" s="1"/>
      <c r="C4" s="42"/>
      <c r="D4" s="42"/>
      <c r="E4" s="42"/>
    </row>
    <row r="5" spans="1:5" ht="31.5" customHeight="1">
      <c r="A5" s="521" t="s">
        <v>1274</v>
      </c>
      <c r="B5" s="521"/>
      <c r="C5" s="521"/>
      <c r="D5" s="521"/>
      <c r="E5" s="521"/>
    </row>
    <row r="6" spans="1:3" ht="18.75" customHeight="1">
      <c r="A6" s="507" t="s">
        <v>1461</v>
      </c>
      <c r="B6" s="507"/>
      <c r="C6" s="507"/>
    </row>
    <row r="7" spans="1:3" ht="13.5" thickBot="1">
      <c r="A7" s="4"/>
      <c r="B7" s="4"/>
      <c r="C7" s="4"/>
    </row>
    <row r="8" spans="1:5" ht="16.5" thickBot="1">
      <c r="A8" s="523" t="s">
        <v>88</v>
      </c>
      <c r="B8" s="523" t="s">
        <v>89</v>
      </c>
      <c r="C8" s="525" t="s">
        <v>210</v>
      </c>
      <c r="D8" s="526"/>
      <c r="E8" s="526"/>
    </row>
    <row r="9" spans="1:5" ht="57.75" customHeight="1" thickBot="1">
      <c r="A9" s="524"/>
      <c r="B9" s="524"/>
      <c r="C9" s="168" t="s">
        <v>643</v>
      </c>
      <c r="D9" s="168" t="s">
        <v>644</v>
      </c>
      <c r="E9" s="168" t="s">
        <v>645</v>
      </c>
    </row>
    <row r="10" spans="1:5" ht="24" customHeight="1" thickBot="1">
      <c r="A10" s="13" t="s">
        <v>220</v>
      </c>
      <c r="B10" s="12" t="s">
        <v>39</v>
      </c>
      <c r="C10" s="94">
        <f>C24</f>
        <v>5477526.189999998</v>
      </c>
      <c r="D10" s="94">
        <f>D24</f>
        <v>0</v>
      </c>
      <c r="E10" s="94">
        <f>E24</f>
        <v>0</v>
      </c>
    </row>
    <row r="11" spans="1:3" ht="16.5" customHeight="1" hidden="1" thickBot="1">
      <c r="A11" s="13" t="s">
        <v>41</v>
      </c>
      <c r="B11" s="12" t="s">
        <v>40</v>
      </c>
      <c r="C11" s="95">
        <f>C18</f>
        <v>0</v>
      </c>
    </row>
    <row r="12" spans="1:3" ht="32.25" customHeight="1" hidden="1" thickBot="1">
      <c r="A12" s="8" t="s">
        <v>43</v>
      </c>
      <c r="B12" s="14" t="s">
        <v>42</v>
      </c>
      <c r="C12" s="96">
        <v>0</v>
      </c>
    </row>
    <row r="13" spans="1:3" ht="32.25" customHeight="1" hidden="1" thickBot="1">
      <c r="A13" s="8" t="s">
        <v>45</v>
      </c>
      <c r="B13" s="14" t="s">
        <v>44</v>
      </c>
      <c r="C13" s="96">
        <v>0</v>
      </c>
    </row>
    <row r="14" spans="1:3" ht="32.25" customHeight="1" hidden="1" thickBot="1">
      <c r="A14" s="8" t="s">
        <v>47</v>
      </c>
      <c r="B14" s="14" t="s">
        <v>46</v>
      </c>
      <c r="C14" s="96">
        <v>0</v>
      </c>
    </row>
    <row r="15" spans="1:3" ht="32.25" customHeight="1" hidden="1" thickBot="1">
      <c r="A15" s="8" t="s">
        <v>300</v>
      </c>
      <c r="B15" s="14" t="s">
        <v>299</v>
      </c>
      <c r="C15" s="96">
        <v>0</v>
      </c>
    </row>
    <row r="16" spans="1:3" ht="32.25" customHeight="1" hidden="1" thickBot="1">
      <c r="A16" s="8" t="s">
        <v>302</v>
      </c>
      <c r="B16" s="14" t="s">
        <v>301</v>
      </c>
      <c r="C16" s="96">
        <v>0</v>
      </c>
    </row>
    <row r="17" spans="1:3" ht="48" customHeight="1" hidden="1" thickBot="1">
      <c r="A17" s="13" t="s">
        <v>304</v>
      </c>
      <c r="B17" s="12" t="s">
        <v>303</v>
      </c>
      <c r="C17" s="95">
        <f>C19</f>
        <v>0</v>
      </c>
    </row>
    <row r="18" spans="1:3" ht="48" customHeight="1" hidden="1" thickBot="1">
      <c r="A18" s="13" t="s">
        <v>68</v>
      </c>
      <c r="B18" s="12" t="s">
        <v>67</v>
      </c>
      <c r="C18" s="95">
        <f>C20</f>
        <v>0</v>
      </c>
    </row>
    <row r="19" spans="1:3" ht="63.75" customHeight="1" hidden="1" thickBot="1">
      <c r="A19" s="8" t="s">
        <v>222</v>
      </c>
      <c r="B19" s="14" t="s">
        <v>221</v>
      </c>
      <c r="C19" s="96">
        <v>0</v>
      </c>
    </row>
    <row r="20" spans="1:3" ht="48" customHeight="1" hidden="1" thickBot="1">
      <c r="A20" s="8" t="s">
        <v>315</v>
      </c>
      <c r="B20" s="14" t="s">
        <v>314</v>
      </c>
      <c r="C20" s="96">
        <v>0</v>
      </c>
    </row>
    <row r="21" spans="1:3" ht="32.25" customHeight="1" hidden="1" thickBot="1">
      <c r="A21" s="8" t="s">
        <v>260</v>
      </c>
      <c r="B21" s="14" t="s">
        <v>259</v>
      </c>
      <c r="C21" s="96">
        <v>0</v>
      </c>
    </row>
    <row r="22" spans="1:3" ht="32.25" customHeight="1" hidden="1" thickBot="1">
      <c r="A22" s="8" t="s">
        <v>4</v>
      </c>
      <c r="B22" s="14" t="s">
        <v>261</v>
      </c>
      <c r="C22" s="96">
        <v>0</v>
      </c>
    </row>
    <row r="23" spans="1:3" ht="48" customHeight="1" hidden="1" thickBot="1">
      <c r="A23" s="8" t="s">
        <v>6</v>
      </c>
      <c r="B23" s="14" t="s">
        <v>5</v>
      </c>
      <c r="C23" s="96">
        <v>0</v>
      </c>
    </row>
    <row r="24" spans="1:5" ht="25.5" customHeight="1" thickBot="1">
      <c r="A24" s="13" t="s">
        <v>8</v>
      </c>
      <c r="B24" s="12" t="s">
        <v>7</v>
      </c>
      <c r="C24" s="94">
        <f>C25+C26</f>
        <v>5477526.189999998</v>
      </c>
      <c r="D24" s="94">
        <f>D25+D26</f>
        <v>0</v>
      </c>
      <c r="E24" s="94">
        <f>E25+E26</f>
        <v>0</v>
      </c>
    </row>
    <row r="25" spans="1:5" ht="24" customHeight="1" thickBot="1">
      <c r="A25" s="9" t="s">
        <v>10</v>
      </c>
      <c r="B25" s="11" t="s">
        <v>9</v>
      </c>
      <c r="C25" s="96">
        <v>-359433212.8</v>
      </c>
      <c r="D25" s="96">
        <v>-304586422.05</v>
      </c>
      <c r="E25" s="96">
        <v>-303666902.3</v>
      </c>
    </row>
    <row r="26" spans="1:5" ht="19.5" customHeight="1" thickBot="1">
      <c r="A26" s="8" t="s">
        <v>12</v>
      </c>
      <c r="B26" s="14" t="s">
        <v>11</v>
      </c>
      <c r="C26" s="197">
        <v>364910738.99</v>
      </c>
      <c r="D26" s="96">
        <v>304586422.05</v>
      </c>
      <c r="E26" s="96">
        <v>303666902.3</v>
      </c>
    </row>
    <row r="27" spans="1:5" ht="36" customHeight="1" thickBot="1">
      <c r="A27" s="13" t="s">
        <v>14</v>
      </c>
      <c r="B27" s="12" t="s">
        <v>13</v>
      </c>
      <c r="C27" s="95">
        <f>C25</f>
        <v>-359433212.8</v>
      </c>
      <c r="D27" s="95">
        <f>D25</f>
        <v>-304586422.05</v>
      </c>
      <c r="E27" s="95">
        <f>E25</f>
        <v>-303666902.3</v>
      </c>
    </row>
    <row r="28" spans="1:5" ht="36" customHeight="1" thickBot="1">
      <c r="A28" s="13" t="s">
        <v>274</v>
      </c>
      <c r="B28" s="12" t="s">
        <v>273</v>
      </c>
      <c r="C28" s="95">
        <f>C25</f>
        <v>-359433212.8</v>
      </c>
      <c r="D28" s="95">
        <f>D25</f>
        <v>-304586422.05</v>
      </c>
      <c r="E28" s="95">
        <f>E25</f>
        <v>-303666902.3</v>
      </c>
    </row>
    <row r="29" spans="1:5" ht="36" customHeight="1" thickBot="1">
      <c r="A29" s="13" t="s">
        <v>276</v>
      </c>
      <c r="B29" s="12" t="s">
        <v>275</v>
      </c>
      <c r="C29" s="95">
        <f aca="true" t="shared" si="0" ref="C29:E30">C25</f>
        <v>-359433212.8</v>
      </c>
      <c r="D29" s="95">
        <f t="shared" si="0"/>
        <v>-304586422.05</v>
      </c>
      <c r="E29" s="95">
        <f t="shared" si="0"/>
        <v>-303666902.3</v>
      </c>
    </row>
    <row r="30" spans="1:5" ht="36" customHeight="1" thickBot="1">
      <c r="A30" s="13" t="s">
        <v>278</v>
      </c>
      <c r="B30" s="12" t="s">
        <v>277</v>
      </c>
      <c r="C30" s="95">
        <f t="shared" si="0"/>
        <v>364910738.99</v>
      </c>
      <c r="D30" s="95">
        <f t="shared" si="0"/>
        <v>304586422.05</v>
      </c>
      <c r="E30" s="95">
        <f t="shared" si="0"/>
        <v>303666902.3</v>
      </c>
    </row>
    <row r="31" spans="1:5" ht="36" customHeight="1" thickBot="1">
      <c r="A31" s="13" t="s">
        <v>280</v>
      </c>
      <c r="B31" s="12" t="s">
        <v>279</v>
      </c>
      <c r="C31" s="97">
        <f>C26</f>
        <v>364910738.99</v>
      </c>
      <c r="D31" s="97">
        <f>D26</f>
        <v>304586422.05</v>
      </c>
      <c r="E31" s="97">
        <f>E26</f>
        <v>303666902.3</v>
      </c>
    </row>
    <row r="32" spans="1:5" ht="36" customHeight="1">
      <c r="A32" s="60" t="s">
        <v>87</v>
      </c>
      <c r="B32" s="195" t="s">
        <v>86</v>
      </c>
      <c r="C32" s="196">
        <f>C26</f>
        <v>364910738.99</v>
      </c>
      <c r="D32" s="196">
        <f>D26</f>
        <v>304586422.05</v>
      </c>
      <c r="E32" s="196">
        <f>E26</f>
        <v>303666902.3</v>
      </c>
    </row>
  </sheetData>
  <sheetProtection/>
  <mergeCells count="6">
    <mergeCell ref="C2:E2"/>
    <mergeCell ref="A8:A9"/>
    <mergeCell ref="B8:B9"/>
    <mergeCell ref="A6:C6"/>
    <mergeCell ref="C8:E8"/>
    <mergeCell ref="A5:E5"/>
  </mergeCells>
  <printOptions/>
  <pageMargins left="0.75" right="0.49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80" zoomScaleSheetLayoutView="80" zoomScalePageLayoutView="0" workbookViewId="0" topLeftCell="A1">
      <selection activeCell="D29" sqref="D29"/>
    </sheetView>
  </sheetViews>
  <sheetFormatPr defaultColWidth="9.140625" defaultRowHeight="12.75"/>
  <cols>
    <col min="1" max="1" width="9.7109375" style="130" customWidth="1"/>
    <col min="2" max="2" width="29.57421875" style="130" customWidth="1"/>
    <col min="3" max="3" width="49.8515625" style="130" customWidth="1"/>
    <col min="4" max="4" width="24.28125" style="130" customWidth="1"/>
    <col min="5" max="5" width="17.00390625" style="130" customWidth="1"/>
    <col min="6" max="6" width="18.57421875" style="130" customWidth="1"/>
    <col min="7" max="16384" width="9.140625" style="130" customWidth="1"/>
  </cols>
  <sheetData>
    <row r="1" spans="1:6" ht="15.75">
      <c r="A1" s="1"/>
      <c r="B1" s="1"/>
      <c r="C1" s="352"/>
      <c r="D1" s="352"/>
      <c r="E1" s="352"/>
      <c r="F1" s="40" t="s">
        <v>186</v>
      </c>
    </row>
    <row r="2" spans="2:6" ht="15.75">
      <c r="B2" s="10"/>
      <c r="C2" s="509" t="s">
        <v>113</v>
      </c>
      <c r="D2" s="509"/>
      <c r="E2" s="509"/>
      <c r="F2" s="509"/>
    </row>
    <row r="3" spans="1:6" ht="15.75">
      <c r="A3" s="1"/>
      <c r="C3" s="352"/>
      <c r="D3" s="509" t="s">
        <v>1458</v>
      </c>
      <c r="E3" s="509"/>
      <c r="F3" s="509"/>
    </row>
    <row r="4" spans="1:3" ht="12.75">
      <c r="A4" s="4"/>
      <c r="B4" s="4"/>
      <c r="C4" s="4"/>
    </row>
    <row r="5" spans="1:6" ht="68.25" customHeight="1">
      <c r="A5" s="521" t="s">
        <v>1275</v>
      </c>
      <c r="B5" s="521"/>
      <c r="C5" s="521"/>
      <c r="D5" s="521"/>
      <c r="E5" s="521"/>
      <c r="F5" s="521"/>
    </row>
    <row r="6" spans="1:5" ht="18.75" customHeight="1">
      <c r="A6" s="507" t="s">
        <v>1463</v>
      </c>
      <c r="B6" s="507"/>
      <c r="C6" s="507"/>
      <c r="D6" s="507"/>
      <c r="E6" s="36"/>
    </row>
    <row r="7" spans="1:4" ht="16.5" thickBot="1">
      <c r="A7" s="3"/>
      <c r="B7" s="4"/>
      <c r="C7" s="4"/>
      <c r="D7" s="118"/>
    </row>
    <row r="8" spans="1:6" ht="36.75" customHeight="1" thickBot="1">
      <c r="A8" s="531" t="s">
        <v>188</v>
      </c>
      <c r="B8" s="532"/>
      <c r="C8" s="533" t="s">
        <v>281</v>
      </c>
      <c r="D8" s="529" t="s">
        <v>883</v>
      </c>
      <c r="E8" s="529" t="s">
        <v>1057</v>
      </c>
      <c r="F8" s="529" t="s">
        <v>1276</v>
      </c>
    </row>
    <row r="9" spans="1:6" ht="83.25" customHeight="1" thickBot="1">
      <c r="A9" s="5" t="s">
        <v>187</v>
      </c>
      <c r="B9" s="6" t="s">
        <v>178</v>
      </c>
      <c r="C9" s="534"/>
      <c r="D9" s="530"/>
      <c r="E9" s="530"/>
      <c r="F9" s="530"/>
    </row>
    <row r="10" spans="1:6" ht="16.5" thickBot="1">
      <c r="A10" s="7">
        <v>1</v>
      </c>
      <c r="B10" s="6">
        <v>2</v>
      </c>
      <c r="C10" s="6">
        <v>3</v>
      </c>
      <c r="D10" s="16">
        <v>4</v>
      </c>
      <c r="E10" s="16">
        <v>5</v>
      </c>
      <c r="F10" s="16">
        <v>6</v>
      </c>
    </row>
    <row r="11" spans="1:6" ht="21" customHeight="1" thickBot="1">
      <c r="A11" s="138" t="s">
        <v>114</v>
      </c>
      <c r="B11" s="527" t="s">
        <v>185</v>
      </c>
      <c r="C11" s="528"/>
      <c r="D11" s="528"/>
      <c r="E11" s="528"/>
      <c r="F11" s="528"/>
    </row>
    <row r="12" spans="1:6" ht="35.25" customHeight="1" thickBot="1">
      <c r="A12" s="61" t="s">
        <v>114</v>
      </c>
      <c r="B12" s="61" t="s">
        <v>19</v>
      </c>
      <c r="C12" s="62" t="s">
        <v>39</v>
      </c>
      <c r="D12" s="198">
        <f>SUM(D27:D28)</f>
        <v>5477526.189999998</v>
      </c>
      <c r="E12" s="198">
        <f>SUM(E27:E28)</f>
        <v>0</v>
      </c>
      <c r="F12" s="198">
        <f>SUM(F27:F28)</f>
        <v>0</v>
      </c>
    </row>
    <row r="13" spans="1:4" ht="51" customHeight="1" hidden="1" thickBot="1">
      <c r="A13" s="13" t="s">
        <v>114</v>
      </c>
      <c r="B13" s="13" t="s">
        <v>41</v>
      </c>
      <c r="C13" s="12" t="s">
        <v>40</v>
      </c>
      <c r="D13" s="198">
        <f aca="true" t="shared" si="0" ref="D13:D25">SUM(D14:D15)</f>
        <v>-81682911208.77</v>
      </c>
    </row>
    <row r="14" spans="1:4" ht="51" customHeight="1" hidden="1" thickBot="1">
      <c r="A14" s="13" t="s">
        <v>114</v>
      </c>
      <c r="B14" s="13" t="s">
        <v>43</v>
      </c>
      <c r="C14" s="12" t="s">
        <v>42</v>
      </c>
      <c r="D14" s="198">
        <f t="shared" si="0"/>
        <v>-50482119040.93</v>
      </c>
    </row>
    <row r="15" spans="1:4" ht="51" customHeight="1" hidden="1" thickBot="1">
      <c r="A15" s="13" t="s">
        <v>114</v>
      </c>
      <c r="B15" s="13" t="s">
        <v>45</v>
      </c>
      <c r="C15" s="12" t="s">
        <v>44</v>
      </c>
      <c r="D15" s="198">
        <f t="shared" si="0"/>
        <v>-31200792167.84</v>
      </c>
    </row>
    <row r="16" spans="1:4" ht="35.25" customHeight="1" hidden="1" thickBot="1">
      <c r="A16" s="13" t="s">
        <v>114</v>
      </c>
      <c r="B16" s="13" t="s">
        <v>47</v>
      </c>
      <c r="C16" s="12" t="s">
        <v>46</v>
      </c>
      <c r="D16" s="198">
        <f t="shared" si="0"/>
        <v>-19281326873.09</v>
      </c>
    </row>
    <row r="17" spans="1:4" ht="34.5" customHeight="1" hidden="1" thickBot="1">
      <c r="A17" s="13" t="s">
        <v>114</v>
      </c>
      <c r="B17" s="13" t="s">
        <v>300</v>
      </c>
      <c r="C17" s="12" t="s">
        <v>299</v>
      </c>
      <c r="D17" s="198">
        <f t="shared" si="0"/>
        <v>-11919465294.75</v>
      </c>
    </row>
    <row r="18" spans="1:4" ht="37.5" customHeight="1" hidden="1" thickBot="1">
      <c r="A18" s="13" t="s">
        <v>114</v>
      </c>
      <c r="B18" s="13" t="s">
        <v>302</v>
      </c>
      <c r="C18" s="12" t="s">
        <v>301</v>
      </c>
      <c r="D18" s="198">
        <f t="shared" si="0"/>
        <v>-7361861578.34</v>
      </c>
    </row>
    <row r="19" spans="1:4" ht="51.75" customHeight="1" hidden="1" thickBot="1">
      <c r="A19" s="13" t="s">
        <v>114</v>
      </c>
      <c r="B19" s="13" t="s">
        <v>304</v>
      </c>
      <c r="C19" s="12" t="s">
        <v>303</v>
      </c>
      <c r="D19" s="198">
        <f t="shared" si="0"/>
        <v>-4557603716.41</v>
      </c>
    </row>
    <row r="20" spans="1:4" ht="95.25" customHeight="1" hidden="1" thickBot="1">
      <c r="A20" s="13" t="s">
        <v>114</v>
      </c>
      <c r="B20" s="13" t="s">
        <v>68</v>
      </c>
      <c r="C20" s="12" t="s">
        <v>67</v>
      </c>
      <c r="D20" s="198">
        <f t="shared" si="0"/>
        <v>-2804257861.9300003</v>
      </c>
    </row>
    <row r="21" spans="1:4" ht="95.25" customHeight="1" hidden="1" thickBot="1">
      <c r="A21" s="13" t="s">
        <v>114</v>
      </c>
      <c r="B21" s="13" t="s">
        <v>222</v>
      </c>
      <c r="C21" s="12" t="s">
        <v>221</v>
      </c>
      <c r="D21" s="198">
        <f t="shared" si="0"/>
        <v>-1753345854.48</v>
      </c>
    </row>
    <row r="22" spans="1:4" ht="95.25" customHeight="1" hidden="1" thickBot="1">
      <c r="A22" s="13" t="s">
        <v>114</v>
      </c>
      <c r="B22" s="13" t="s">
        <v>315</v>
      </c>
      <c r="C22" s="12" t="s">
        <v>314</v>
      </c>
      <c r="D22" s="198">
        <f t="shared" si="0"/>
        <v>-1050912007.45</v>
      </c>
    </row>
    <row r="23" spans="1:4" ht="48" customHeight="1" hidden="1" thickBot="1">
      <c r="A23" s="13" t="s">
        <v>114</v>
      </c>
      <c r="B23" s="13" t="s">
        <v>260</v>
      </c>
      <c r="C23" s="12" t="s">
        <v>259</v>
      </c>
      <c r="D23" s="198">
        <f t="shared" si="0"/>
        <v>-702433847.03</v>
      </c>
    </row>
    <row r="24" spans="1:4" ht="63.75" customHeight="1" hidden="1" thickBot="1">
      <c r="A24" s="13" t="s">
        <v>114</v>
      </c>
      <c r="B24" s="13" t="s">
        <v>4</v>
      </c>
      <c r="C24" s="12" t="s">
        <v>261</v>
      </c>
      <c r="D24" s="198">
        <f t="shared" si="0"/>
        <v>-348478160.42</v>
      </c>
    </row>
    <row r="25" spans="1:4" ht="79.5" customHeight="1" hidden="1" thickBot="1">
      <c r="A25" s="13" t="s">
        <v>114</v>
      </c>
      <c r="B25" s="13" t="s">
        <v>6</v>
      </c>
      <c r="C25" s="12" t="s">
        <v>5</v>
      </c>
      <c r="D25" s="198">
        <f t="shared" si="0"/>
        <v>-353955686.61</v>
      </c>
    </row>
    <row r="26" spans="1:6" ht="16.5" thickBot="1">
      <c r="A26" s="13" t="s">
        <v>114</v>
      </c>
      <c r="B26" s="13" t="s">
        <v>20</v>
      </c>
      <c r="C26" s="12" t="s">
        <v>7</v>
      </c>
      <c r="D26" s="198">
        <f>SUM(D27:D28)</f>
        <v>5477526.189999998</v>
      </c>
      <c r="E26" s="198">
        <f>SUM(E27:E28)</f>
        <v>0</v>
      </c>
      <c r="F26" s="198">
        <f>SUM(F27:F28)</f>
        <v>0</v>
      </c>
    </row>
    <row r="27" spans="1:6" ht="16.5" thickBot="1">
      <c r="A27" s="8" t="s">
        <v>114</v>
      </c>
      <c r="B27" s="9" t="s">
        <v>21</v>
      </c>
      <c r="C27" s="11" t="s">
        <v>9</v>
      </c>
      <c r="D27" s="96">
        <v>-359433212.8</v>
      </c>
      <c r="E27" s="96">
        <v>-304586422.05</v>
      </c>
      <c r="F27" s="96">
        <v>-303666902.3</v>
      </c>
    </row>
    <row r="28" spans="1:6" ht="16.5" thickBot="1">
      <c r="A28" s="8" t="s">
        <v>114</v>
      </c>
      <c r="B28" s="8" t="s">
        <v>22</v>
      </c>
      <c r="C28" s="14" t="s">
        <v>11</v>
      </c>
      <c r="D28" s="197">
        <v>364910738.99</v>
      </c>
      <c r="E28" s="96">
        <v>304586422.05</v>
      </c>
      <c r="F28" s="96">
        <v>303666902.3</v>
      </c>
    </row>
    <row r="29" spans="1:6" ht="32.25" thickBot="1">
      <c r="A29" s="13" t="s">
        <v>114</v>
      </c>
      <c r="B29" s="13" t="s">
        <v>23</v>
      </c>
      <c r="C29" s="12" t="s">
        <v>13</v>
      </c>
      <c r="D29" s="198">
        <f>SUM(D27)</f>
        <v>-359433212.8</v>
      </c>
      <c r="E29" s="198">
        <f>SUM(E27)</f>
        <v>-304586422.05</v>
      </c>
      <c r="F29" s="198">
        <f>SUM(F27)</f>
        <v>-303666902.3</v>
      </c>
    </row>
    <row r="30" spans="1:6" ht="32.25" thickBot="1">
      <c r="A30" s="13" t="s">
        <v>114</v>
      </c>
      <c r="B30" s="13" t="s">
        <v>24</v>
      </c>
      <c r="C30" s="12" t="s">
        <v>273</v>
      </c>
      <c r="D30" s="198">
        <f>SUM(D27)</f>
        <v>-359433212.8</v>
      </c>
      <c r="E30" s="198">
        <f>SUM(E27)</f>
        <v>-304586422.05</v>
      </c>
      <c r="F30" s="198">
        <f>SUM(F27)</f>
        <v>-303666902.3</v>
      </c>
    </row>
    <row r="31" spans="1:6" ht="32.25" thickBot="1">
      <c r="A31" s="13" t="s">
        <v>114</v>
      </c>
      <c r="B31" s="13" t="s">
        <v>123</v>
      </c>
      <c r="C31" s="12" t="s">
        <v>275</v>
      </c>
      <c r="D31" s="198">
        <f>SUM(D29)</f>
        <v>-359433212.8</v>
      </c>
      <c r="E31" s="198">
        <f>SUM(E29)</f>
        <v>-304586422.05</v>
      </c>
      <c r="F31" s="198">
        <f>SUM(F29)</f>
        <v>-303666902.3</v>
      </c>
    </row>
    <row r="32" spans="1:6" ht="32.25" thickBot="1">
      <c r="A32" s="13" t="s">
        <v>114</v>
      </c>
      <c r="B32" s="13" t="s">
        <v>124</v>
      </c>
      <c r="C32" s="12" t="s">
        <v>277</v>
      </c>
      <c r="D32" s="198">
        <f>SUM(D28)</f>
        <v>364910738.99</v>
      </c>
      <c r="E32" s="198">
        <f>SUM(E28)</f>
        <v>304586422.05</v>
      </c>
      <c r="F32" s="198">
        <f>SUM(F28)</f>
        <v>303666902.3</v>
      </c>
    </row>
    <row r="33" spans="1:6" ht="32.25" thickBot="1">
      <c r="A33" s="13" t="s">
        <v>114</v>
      </c>
      <c r="B33" s="13" t="s">
        <v>125</v>
      </c>
      <c r="C33" s="12" t="s">
        <v>279</v>
      </c>
      <c r="D33" s="198">
        <f>SUM(D28)</f>
        <v>364910738.99</v>
      </c>
      <c r="E33" s="198">
        <f>SUM(E28)</f>
        <v>304586422.05</v>
      </c>
      <c r="F33" s="198">
        <f>SUM(F28)</f>
        <v>303666902.3</v>
      </c>
    </row>
    <row r="34" spans="1:6" ht="32.25" thickBot="1">
      <c r="A34" s="13" t="s">
        <v>114</v>
      </c>
      <c r="B34" s="13" t="s">
        <v>126</v>
      </c>
      <c r="C34" s="12" t="s">
        <v>86</v>
      </c>
      <c r="D34" s="198">
        <f>SUM(D28)</f>
        <v>364910738.99</v>
      </c>
      <c r="E34" s="198">
        <f>SUM(E28)</f>
        <v>304586422.05</v>
      </c>
      <c r="F34" s="198">
        <f>SUM(F28)</f>
        <v>303666902.3</v>
      </c>
    </row>
  </sheetData>
  <sheetProtection/>
  <mergeCells count="10">
    <mergeCell ref="B11:F11"/>
    <mergeCell ref="C2:F2"/>
    <mergeCell ref="D3:F3"/>
    <mergeCell ref="A5:F5"/>
    <mergeCell ref="E8:E9"/>
    <mergeCell ref="F8:F9"/>
    <mergeCell ref="A8:B8"/>
    <mergeCell ref="C8:C9"/>
    <mergeCell ref="D8:D9"/>
    <mergeCell ref="A6:D6"/>
  </mergeCells>
  <printOptions/>
  <pageMargins left="0.75" right="0.53" top="1" bottom="1" header="0.5" footer="0.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2"/>
  <sheetViews>
    <sheetView tabSelected="1" view="pageBreakPreview" zoomScaleNormal="80" zoomScaleSheetLayoutView="100" workbookViewId="0" topLeftCell="A202">
      <selection activeCell="A213" sqref="A1:A16384"/>
    </sheetView>
  </sheetViews>
  <sheetFormatPr defaultColWidth="9.140625" defaultRowHeight="12.75"/>
  <cols>
    <col min="1" max="1" width="70.00390625" style="130" customWidth="1"/>
    <col min="2" max="2" width="16.140625" style="130" customWidth="1"/>
    <col min="3" max="3" width="11.57421875" style="130" customWidth="1"/>
    <col min="4" max="4" width="0.5625" style="130" hidden="1" customWidth="1"/>
    <col min="5" max="5" width="16.57421875" style="130" customWidth="1"/>
    <col min="6" max="6" width="17.140625" style="130" customWidth="1"/>
    <col min="7" max="7" width="17.140625" style="421" hidden="1" customWidth="1"/>
    <col min="8" max="8" width="10.140625" style="130" customWidth="1"/>
    <col min="9" max="16384" width="9.140625" style="130" customWidth="1"/>
  </cols>
  <sheetData>
    <row r="1" spans="1:7" ht="12.75" customHeight="1">
      <c r="A1" s="509" t="s">
        <v>156</v>
      </c>
      <c r="B1" s="509"/>
      <c r="C1" s="509"/>
      <c r="D1" s="509"/>
      <c r="E1" s="509"/>
      <c r="F1" s="509"/>
      <c r="G1" s="420"/>
    </row>
    <row r="2" spans="1:7" ht="12.75" customHeight="1">
      <c r="A2" s="509" t="s">
        <v>113</v>
      </c>
      <c r="B2" s="509"/>
      <c r="C2" s="509"/>
      <c r="D2" s="509"/>
      <c r="E2" s="509"/>
      <c r="F2" s="509"/>
      <c r="G2" s="420"/>
    </row>
    <row r="3" spans="1:7" ht="15.75">
      <c r="A3" s="509" t="s">
        <v>1462</v>
      </c>
      <c r="B3" s="509"/>
      <c r="C3" s="509"/>
      <c r="D3" s="509"/>
      <c r="E3" s="509"/>
      <c r="F3" s="509"/>
      <c r="G3" s="420"/>
    </row>
    <row r="4" ht="15">
      <c r="B4" s="2"/>
    </row>
    <row r="5" spans="1:7" ht="93.75" customHeight="1">
      <c r="A5" s="521" t="s">
        <v>1277</v>
      </c>
      <c r="B5" s="521"/>
      <c r="C5" s="521"/>
      <c r="D5" s="521"/>
      <c r="E5" s="521"/>
      <c r="F5" s="521"/>
      <c r="G5" s="420"/>
    </row>
    <row r="6" spans="1:7" ht="15.75">
      <c r="A6" s="507" t="s">
        <v>1464</v>
      </c>
      <c r="B6" s="507"/>
      <c r="C6" s="507"/>
      <c r="D6" s="507"/>
      <c r="E6" s="507"/>
      <c r="F6" s="507"/>
      <c r="G6" s="420"/>
    </row>
    <row r="7" spans="1:2" ht="12.75">
      <c r="A7" s="4"/>
      <c r="B7" s="171"/>
    </row>
    <row r="8" spans="1:7" ht="37.5" customHeight="1">
      <c r="A8" s="535" t="s">
        <v>159</v>
      </c>
      <c r="B8" s="535" t="s">
        <v>313</v>
      </c>
      <c r="C8" s="535" t="s">
        <v>319</v>
      </c>
      <c r="D8" s="535" t="s">
        <v>1278</v>
      </c>
      <c r="E8" s="535"/>
      <c r="F8" s="535"/>
      <c r="G8" s="420"/>
    </row>
    <row r="9" spans="1:7" ht="30" customHeight="1">
      <c r="A9" s="535"/>
      <c r="B9" s="535"/>
      <c r="C9" s="535"/>
      <c r="D9" s="227" t="s">
        <v>228</v>
      </c>
      <c r="E9" s="227" t="s">
        <v>619</v>
      </c>
      <c r="F9" s="228" t="s">
        <v>229</v>
      </c>
      <c r="G9" s="422" t="s">
        <v>1492</v>
      </c>
    </row>
    <row r="10" spans="1:7" ht="16.5" customHeight="1">
      <c r="A10" s="229">
        <v>1</v>
      </c>
      <c r="B10" s="229">
        <v>2</v>
      </c>
      <c r="C10" s="229">
        <v>3</v>
      </c>
      <c r="D10" s="229">
        <v>4</v>
      </c>
      <c r="E10" s="229">
        <v>4</v>
      </c>
      <c r="F10" s="229">
        <v>5</v>
      </c>
      <c r="G10" s="423">
        <v>5</v>
      </c>
    </row>
    <row r="11" spans="1:7" ht="47.25">
      <c r="A11" s="160" t="s">
        <v>659</v>
      </c>
      <c r="B11" s="24" t="s">
        <v>341</v>
      </c>
      <c r="C11" s="128"/>
      <c r="D11" s="165">
        <f>D12</f>
        <v>-816000</v>
      </c>
      <c r="E11" s="165">
        <f>E12</f>
        <v>190482.41</v>
      </c>
      <c r="F11" s="165">
        <f>F12+F15</f>
        <v>1189309.5</v>
      </c>
      <c r="G11" s="424">
        <f>G12+G15</f>
        <v>998827.09</v>
      </c>
    </row>
    <row r="12" spans="1:7" ht="30" customHeight="1">
      <c r="A12" s="136" t="s">
        <v>1401</v>
      </c>
      <c r="B12" s="21" t="s">
        <v>342</v>
      </c>
      <c r="C12" s="63"/>
      <c r="D12" s="104">
        <f>SUM(D14:D17)</f>
        <v>-816000</v>
      </c>
      <c r="E12" s="104">
        <f>E13+E15</f>
        <v>190482.41</v>
      </c>
      <c r="F12" s="104">
        <f>F13</f>
        <v>843718.79</v>
      </c>
      <c r="G12" s="425">
        <f>G13</f>
        <v>698827.09</v>
      </c>
    </row>
    <row r="13" spans="1:8" ht="31.5">
      <c r="A13" s="136" t="s">
        <v>929</v>
      </c>
      <c r="B13" s="21" t="s">
        <v>343</v>
      </c>
      <c r="C13" s="63"/>
      <c r="D13" s="104"/>
      <c r="E13" s="104">
        <f>SUM(E14)</f>
        <v>144891.7</v>
      </c>
      <c r="F13" s="104">
        <f>SUM(F14)</f>
        <v>843718.79</v>
      </c>
      <c r="G13" s="425">
        <f>SUM(G14)</f>
        <v>698827.09</v>
      </c>
      <c r="H13" s="193"/>
    </row>
    <row r="14" spans="1:8" ht="63">
      <c r="A14" s="71" t="s">
        <v>590</v>
      </c>
      <c r="B14" s="22" t="s">
        <v>344</v>
      </c>
      <c r="C14" s="64">
        <v>200</v>
      </c>
      <c r="D14" s="98">
        <v>-360000</v>
      </c>
      <c r="E14" s="98">
        <v>144891.7</v>
      </c>
      <c r="F14" s="143">
        <v>843718.79</v>
      </c>
      <c r="G14" s="426">
        <v>698827.09</v>
      </c>
      <c r="H14" s="144"/>
    </row>
    <row r="15" spans="1:8" ht="31.5">
      <c r="A15" s="136" t="s">
        <v>1402</v>
      </c>
      <c r="B15" s="21" t="s">
        <v>1404</v>
      </c>
      <c r="C15" s="63"/>
      <c r="D15" s="98"/>
      <c r="E15" s="129">
        <f>E17</f>
        <v>45590.71</v>
      </c>
      <c r="F15" s="129">
        <f>F17</f>
        <v>345590.71</v>
      </c>
      <c r="G15" s="427">
        <f>G17</f>
        <v>300000</v>
      </c>
      <c r="H15" s="144"/>
    </row>
    <row r="16" spans="1:8" ht="33.75" customHeight="1">
      <c r="A16" s="136" t="s">
        <v>904</v>
      </c>
      <c r="B16" s="21" t="s">
        <v>1403</v>
      </c>
      <c r="C16" s="63"/>
      <c r="D16" s="104"/>
      <c r="E16" s="104">
        <f>SUM(E17)</f>
        <v>45590.71</v>
      </c>
      <c r="F16" s="104">
        <f>SUM(F17)</f>
        <v>345590.71</v>
      </c>
      <c r="G16" s="425">
        <f>SUM(G17)</f>
        <v>300000</v>
      </c>
      <c r="H16" s="144"/>
    </row>
    <row r="17" spans="1:8" ht="61.5" customHeight="1">
      <c r="A17" s="71" t="s">
        <v>591</v>
      </c>
      <c r="B17" s="22" t="s">
        <v>1405</v>
      </c>
      <c r="C17" s="64">
        <v>200</v>
      </c>
      <c r="D17" s="98">
        <v>-456000</v>
      </c>
      <c r="E17" s="98">
        <v>45590.71</v>
      </c>
      <c r="F17" s="143">
        <v>345590.71</v>
      </c>
      <c r="G17" s="426">
        <v>300000</v>
      </c>
      <c r="H17" s="144"/>
    </row>
    <row r="18" spans="1:8" ht="31.5">
      <c r="A18" s="160" t="s">
        <v>890</v>
      </c>
      <c r="B18" s="24" t="s">
        <v>345</v>
      </c>
      <c r="C18" s="230"/>
      <c r="D18" s="165" t="e">
        <f>D19+D25+#REF!+#REF!+#REF!+#REF!</f>
        <v>#REF!</v>
      </c>
      <c r="E18" s="165">
        <f>E19+E25+E46+E49</f>
        <v>0</v>
      </c>
      <c r="F18" s="165">
        <f>F19+F25+F46+F49</f>
        <v>40670532.309999995</v>
      </c>
      <c r="G18" s="424">
        <f>G19+G25+G46+G49</f>
        <v>40670532.309999995</v>
      </c>
      <c r="H18" s="171"/>
    </row>
    <row r="19" spans="1:7" ht="31.5">
      <c r="A19" s="161" t="s">
        <v>346</v>
      </c>
      <c r="B19" s="21" t="s">
        <v>347</v>
      </c>
      <c r="C19" s="63"/>
      <c r="D19" s="104">
        <f>SUM(D21:D21)</f>
        <v>-47100</v>
      </c>
      <c r="E19" s="104">
        <f>E20+E22</f>
        <v>0</v>
      </c>
      <c r="F19" s="104">
        <f>F20+F22</f>
        <v>1370453.76</v>
      </c>
      <c r="G19" s="425">
        <f>G20+G22</f>
        <v>1370453.76</v>
      </c>
    </row>
    <row r="20" spans="1:7" ht="31.5">
      <c r="A20" s="161" t="s">
        <v>348</v>
      </c>
      <c r="B20" s="21" t="s">
        <v>349</v>
      </c>
      <c r="C20" s="63"/>
      <c r="D20" s="104"/>
      <c r="E20" s="104">
        <f>SUM(E21:E21)</f>
        <v>0</v>
      </c>
      <c r="F20" s="104">
        <f>SUM(F21:F21)</f>
        <v>115900</v>
      </c>
      <c r="G20" s="425">
        <f>SUM(G21:G21)</f>
        <v>115900</v>
      </c>
    </row>
    <row r="21" spans="1:7" ht="94.5">
      <c r="A21" s="66" t="s">
        <v>957</v>
      </c>
      <c r="B21" s="22" t="s">
        <v>350</v>
      </c>
      <c r="C21" s="64">
        <v>200</v>
      </c>
      <c r="D21" s="98">
        <v>-47100</v>
      </c>
      <c r="E21" s="98"/>
      <c r="F21" s="143">
        <f>145900-30000</f>
        <v>115900</v>
      </c>
      <c r="G21" s="426">
        <f>145900-30000</f>
        <v>115900</v>
      </c>
    </row>
    <row r="22" spans="1:7" ht="31.5">
      <c r="A22" s="231" t="s">
        <v>910</v>
      </c>
      <c r="B22" s="127" t="s">
        <v>905</v>
      </c>
      <c r="C22" s="128"/>
      <c r="D22" s="129"/>
      <c r="E22" s="129">
        <f>SUM(E23:E24)</f>
        <v>0</v>
      </c>
      <c r="F22" s="129">
        <f>SUM(F23:F24)</f>
        <v>1254553.76</v>
      </c>
      <c r="G22" s="427">
        <f>SUM(G23:G24)</f>
        <v>1254553.76</v>
      </c>
    </row>
    <row r="23" spans="1:7" ht="63">
      <c r="A23" s="65" t="s">
        <v>610</v>
      </c>
      <c r="B23" s="22" t="s">
        <v>906</v>
      </c>
      <c r="C23" s="64">
        <v>200</v>
      </c>
      <c r="D23" s="98"/>
      <c r="E23" s="98"/>
      <c r="F23" s="143">
        <v>18540.2</v>
      </c>
      <c r="G23" s="426">
        <v>18540.2</v>
      </c>
    </row>
    <row r="24" spans="1:7" ht="63">
      <c r="A24" s="65" t="s">
        <v>471</v>
      </c>
      <c r="B24" s="22" t="s">
        <v>906</v>
      </c>
      <c r="C24" s="64">
        <v>300</v>
      </c>
      <c r="D24" s="98">
        <v>30000</v>
      </c>
      <c r="E24" s="98"/>
      <c r="F24" s="143">
        <v>1236013.56</v>
      </c>
      <c r="G24" s="426">
        <v>1236013.56</v>
      </c>
    </row>
    <row r="25" spans="1:7" ht="31.5">
      <c r="A25" s="161" t="s">
        <v>351</v>
      </c>
      <c r="B25" s="21" t="s">
        <v>352</v>
      </c>
      <c r="C25" s="63"/>
      <c r="D25" s="104" t="e">
        <f>SUM(D29:D271)</f>
        <v>#REF!</v>
      </c>
      <c r="E25" s="104">
        <f>E26+E28+E44</f>
        <v>0</v>
      </c>
      <c r="F25" s="104">
        <f>F26+F28+F44</f>
        <v>31222640.559999995</v>
      </c>
      <c r="G25" s="425">
        <f>G26+G28+G44</f>
        <v>31222640.559999995</v>
      </c>
    </row>
    <row r="26" spans="1:7" ht="47.25">
      <c r="A26" s="161" t="s">
        <v>353</v>
      </c>
      <c r="B26" s="21" t="s">
        <v>354</v>
      </c>
      <c r="C26" s="63"/>
      <c r="D26" s="104"/>
      <c r="E26" s="104">
        <f>E27</f>
        <v>0</v>
      </c>
      <c r="F26" s="104">
        <f>F27</f>
        <v>1298844</v>
      </c>
      <c r="G26" s="425">
        <f>G27</f>
        <v>1298844</v>
      </c>
    </row>
    <row r="27" spans="1:7" ht="78.75">
      <c r="A27" s="65" t="s">
        <v>355</v>
      </c>
      <c r="B27" s="22" t="s">
        <v>356</v>
      </c>
      <c r="C27" s="64">
        <v>100</v>
      </c>
      <c r="D27" s="98">
        <v>1001205</v>
      </c>
      <c r="E27" s="98"/>
      <c r="F27" s="143">
        <v>1298844</v>
      </c>
      <c r="G27" s="426">
        <v>1298844</v>
      </c>
    </row>
    <row r="28" spans="1:7" ht="78.75">
      <c r="A28" s="232" t="s">
        <v>1003</v>
      </c>
      <c r="B28" s="127" t="s">
        <v>357</v>
      </c>
      <c r="C28" s="128"/>
      <c r="D28" s="129"/>
      <c r="E28" s="129">
        <f>SUM(E29:E43)</f>
        <v>0</v>
      </c>
      <c r="F28" s="129">
        <f>SUM(F29:F43)</f>
        <v>29360922.159999996</v>
      </c>
      <c r="G28" s="427">
        <f>SUM(G29:G43)</f>
        <v>29360922.159999996</v>
      </c>
    </row>
    <row r="29" spans="1:7" ht="81" customHeight="1">
      <c r="A29" s="65" t="s">
        <v>764</v>
      </c>
      <c r="B29" s="22" t="s">
        <v>359</v>
      </c>
      <c r="C29" s="64">
        <v>100</v>
      </c>
      <c r="D29" s="98">
        <v>15078984</v>
      </c>
      <c r="E29" s="98"/>
      <c r="F29" s="143">
        <v>19682854.39</v>
      </c>
      <c r="G29" s="426">
        <v>19682854.39</v>
      </c>
    </row>
    <row r="30" spans="1:7" ht="47.25">
      <c r="A30" s="65" t="s">
        <v>592</v>
      </c>
      <c r="B30" s="22" t="s">
        <v>359</v>
      </c>
      <c r="C30" s="64">
        <v>200</v>
      </c>
      <c r="D30" s="98">
        <v>5279911</v>
      </c>
      <c r="E30" s="98"/>
      <c r="F30" s="143">
        <f>1585184.56+21324.95-154.85</f>
        <v>1606354.66</v>
      </c>
      <c r="G30" s="426">
        <f>1585184.56+21324.95-154.85</f>
        <v>1606354.66</v>
      </c>
    </row>
    <row r="31" spans="1:7" ht="32.25" customHeight="1">
      <c r="A31" s="65" t="s">
        <v>1028</v>
      </c>
      <c r="B31" s="22" t="s">
        <v>359</v>
      </c>
      <c r="C31" s="64">
        <v>300</v>
      </c>
      <c r="D31" s="98"/>
      <c r="E31" s="98"/>
      <c r="F31" s="143">
        <v>0</v>
      </c>
      <c r="G31" s="426">
        <v>0</v>
      </c>
    </row>
    <row r="32" spans="1:7" ht="31.5">
      <c r="A32" s="65" t="s">
        <v>358</v>
      </c>
      <c r="B32" s="22" t="s">
        <v>359</v>
      </c>
      <c r="C32" s="64">
        <v>800</v>
      </c>
      <c r="D32" s="98">
        <v>257000</v>
      </c>
      <c r="E32" s="98"/>
      <c r="F32" s="143">
        <v>58000</v>
      </c>
      <c r="G32" s="426">
        <v>58000</v>
      </c>
    </row>
    <row r="33" spans="1:7" ht="82.5" customHeight="1">
      <c r="A33" s="65" t="s">
        <v>983</v>
      </c>
      <c r="B33" s="22" t="s">
        <v>561</v>
      </c>
      <c r="C33" s="64">
        <v>100</v>
      </c>
      <c r="D33" s="98"/>
      <c r="E33" s="98"/>
      <c r="F33" s="143">
        <v>489343.68</v>
      </c>
      <c r="G33" s="426">
        <v>489343.68</v>
      </c>
    </row>
    <row r="34" spans="1:7" ht="78.75">
      <c r="A34" s="65" t="s">
        <v>360</v>
      </c>
      <c r="B34" s="22" t="s">
        <v>361</v>
      </c>
      <c r="C34" s="64">
        <v>100</v>
      </c>
      <c r="D34" s="98">
        <v>644418</v>
      </c>
      <c r="E34" s="98"/>
      <c r="F34" s="143">
        <v>237904.56</v>
      </c>
      <c r="G34" s="426">
        <v>237904.56</v>
      </c>
    </row>
    <row r="35" spans="1:7" ht="47.25">
      <c r="A35" s="65" t="s">
        <v>593</v>
      </c>
      <c r="B35" s="22" t="s">
        <v>361</v>
      </c>
      <c r="C35" s="64">
        <v>200</v>
      </c>
      <c r="D35" s="98">
        <v>422600</v>
      </c>
      <c r="E35" s="98"/>
      <c r="F35" s="143">
        <v>520479</v>
      </c>
      <c r="G35" s="426">
        <v>520479</v>
      </c>
    </row>
    <row r="36" spans="1:7" ht="31.5">
      <c r="A36" s="65" t="s">
        <v>947</v>
      </c>
      <c r="B36" s="22" t="s">
        <v>361</v>
      </c>
      <c r="C36" s="64">
        <v>300</v>
      </c>
      <c r="D36" s="98"/>
      <c r="E36" s="98"/>
      <c r="F36" s="143">
        <v>18130</v>
      </c>
      <c r="G36" s="426">
        <v>18130</v>
      </c>
    </row>
    <row r="37" spans="1:7" ht="79.5" customHeight="1">
      <c r="A37" s="65" t="s">
        <v>548</v>
      </c>
      <c r="B37" s="22" t="s">
        <v>363</v>
      </c>
      <c r="C37" s="64">
        <v>100</v>
      </c>
      <c r="D37" s="98">
        <v>3118930</v>
      </c>
      <c r="E37" s="98"/>
      <c r="F37" s="143">
        <v>4278731.61</v>
      </c>
      <c r="G37" s="426">
        <v>4278731.61</v>
      </c>
    </row>
    <row r="38" spans="1:7" ht="47.25">
      <c r="A38" s="65" t="s">
        <v>594</v>
      </c>
      <c r="B38" s="22" t="s">
        <v>363</v>
      </c>
      <c r="C38" s="64">
        <v>200</v>
      </c>
      <c r="D38" s="98">
        <v>266570</v>
      </c>
      <c r="E38" s="98"/>
      <c r="F38" s="143">
        <v>773450.65</v>
      </c>
      <c r="G38" s="426">
        <v>773450.65</v>
      </c>
    </row>
    <row r="39" spans="1:7" ht="36.75" customHeight="1">
      <c r="A39" s="65" t="s">
        <v>362</v>
      </c>
      <c r="B39" s="141" t="s">
        <v>363</v>
      </c>
      <c r="C39" s="142">
        <v>800</v>
      </c>
      <c r="D39" s="98"/>
      <c r="E39" s="98"/>
      <c r="F39" s="143"/>
      <c r="G39" s="426"/>
    </row>
    <row r="40" spans="1:7" ht="82.5" customHeight="1">
      <c r="A40" s="65" t="s">
        <v>568</v>
      </c>
      <c r="B40" s="22" t="s">
        <v>365</v>
      </c>
      <c r="C40" s="64">
        <v>100</v>
      </c>
      <c r="D40" s="98">
        <v>1400000</v>
      </c>
      <c r="E40" s="98"/>
      <c r="F40" s="98">
        <v>1150297.21</v>
      </c>
      <c r="G40" s="428">
        <v>1150297.21</v>
      </c>
    </row>
    <row r="41" spans="1:7" ht="47.25">
      <c r="A41" s="65" t="s">
        <v>595</v>
      </c>
      <c r="B41" s="22" t="s">
        <v>365</v>
      </c>
      <c r="C41" s="64">
        <v>200</v>
      </c>
      <c r="D41" s="98"/>
      <c r="E41" s="98"/>
      <c r="F41" s="98">
        <v>239576.4</v>
      </c>
      <c r="G41" s="428">
        <v>239576.4</v>
      </c>
    </row>
    <row r="42" spans="1:7" ht="49.5" customHeight="1">
      <c r="A42" s="235" t="s">
        <v>621</v>
      </c>
      <c r="B42" s="22" t="s">
        <v>1352</v>
      </c>
      <c r="C42" s="64">
        <v>300</v>
      </c>
      <c r="D42" s="98"/>
      <c r="E42" s="98"/>
      <c r="F42" s="143">
        <v>9000</v>
      </c>
      <c r="G42" s="426">
        <v>9000</v>
      </c>
    </row>
    <row r="43" spans="1:7" ht="47.25" customHeight="1">
      <c r="A43" s="65" t="s">
        <v>597</v>
      </c>
      <c r="B43" s="22" t="s">
        <v>367</v>
      </c>
      <c r="C43" s="64">
        <v>200</v>
      </c>
      <c r="D43" s="98">
        <v>302040</v>
      </c>
      <c r="E43" s="98"/>
      <c r="F43" s="143">
        <v>296800</v>
      </c>
      <c r="G43" s="426">
        <v>296800</v>
      </c>
    </row>
    <row r="44" spans="1:7" ht="15.75">
      <c r="A44" s="232" t="s">
        <v>368</v>
      </c>
      <c r="B44" s="127" t="s">
        <v>369</v>
      </c>
      <c r="C44" s="128"/>
      <c r="D44" s="129"/>
      <c r="E44" s="129">
        <f>E45</f>
        <v>0</v>
      </c>
      <c r="F44" s="129">
        <f>F45</f>
        <v>562874.4</v>
      </c>
      <c r="G44" s="427">
        <f>G45</f>
        <v>562874.4</v>
      </c>
    </row>
    <row r="45" spans="1:7" ht="63">
      <c r="A45" s="65" t="s">
        <v>598</v>
      </c>
      <c r="B45" s="22" t="s">
        <v>370</v>
      </c>
      <c r="C45" s="64">
        <v>200</v>
      </c>
      <c r="D45" s="98">
        <v>400000</v>
      </c>
      <c r="E45" s="98"/>
      <c r="F45" s="143">
        <v>562874.4</v>
      </c>
      <c r="G45" s="426">
        <v>562874.4</v>
      </c>
    </row>
    <row r="46" spans="1:7" ht="31.5">
      <c r="A46" s="232" t="s">
        <v>371</v>
      </c>
      <c r="B46" s="127" t="s">
        <v>373</v>
      </c>
      <c r="C46" s="128"/>
      <c r="D46" s="129"/>
      <c r="E46" s="129">
        <f aca="true" t="shared" si="0" ref="E46:G47">E47</f>
        <v>0</v>
      </c>
      <c r="F46" s="129">
        <f t="shared" si="0"/>
        <v>292660.23</v>
      </c>
      <c r="G46" s="427">
        <f t="shared" si="0"/>
        <v>292660.23</v>
      </c>
    </row>
    <row r="47" spans="1:7" ht="47.25" customHeight="1">
      <c r="A47" s="232" t="s">
        <v>372</v>
      </c>
      <c r="B47" s="127" t="s">
        <v>374</v>
      </c>
      <c r="C47" s="128"/>
      <c r="D47" s="129"/>
      <c r="E47" s="129">
        <f t="shared" si="0"/>
        <v>0</v>
      </c>
      <c r="F47" s="129">
        <f t="shared" si="0"/>
        <v>292660.23</v>
      </c>
      <c r="G47" s="427">
        <f t="shared" si="0"/>
        <v>292660.23</v>
      </c>
    </row>
    <row r="48" spans="1:7" ht="81" customHeight="1">
      <c r="A48" s="65" t="s">
        <v>1007</v>
      </c>
      <c r="B48" s="22" t="s">
        <v>375</v>
      </c>
      <c r="C48" s="64">
        <v>200</v>
      </c>
      <c r="D48" s="98"/>
      <c r="E48" s="98"/>
      <c r="F48" s="143">
        <v>292660.23</v>
      </c>
      <c r="G48" s="426">
        <v>292660.23</v>
      </c>
    </row>
    <row r="49" spans="1:7" ht="31.5">
      <c r="A49" s="232" t="s">
        <v>948</v>
      </c>
      <c r="B49" s="127" t="s">
        <v>907</v>
      </c>
      <c r="C49" s="128"/>
      <c r="D49" s="98"/>
      <c r="E49" s="129">
        <f>E50</f>
        <v>0</v>
      </c>
      <c r="F49" s="129">
        <f>F50</f>
        <v>7784777.76</v>
      </c>
      <c r="G49" s="427">
        <f>G50</f>
        <v>7784777.76</v>
      </c>
    </row>
    <row r="50" spans="1:7" ht="31.5">
      <c r="A50" s="232" t="s">
        <v>928</v>
      </c>
      <c r="B50" s="127" t="s">
        <v>908</v>
      </c>
      <c r="C50" s="128"/>
      <c r="D50" s="98"/>
      <c r="E50" s="129">
        <f>SUM(E51:E53)</f>
        <v>0</v>
      </c>
      <c r="F50" s="129">
        <f>SUM(F51:F53)</f>
        <v>7784777.76</v>
      </c>
      <c r="G50" s="427">
        <f>SUM(G51:G53)</f>
        <v>7784777.76</v>
      </c>
    </row>
    <row r="51" spans="1:7" ht="78.75">
      <c r="A51" s="131" t="s">
        <v>974</v>
      </c>
      <c r="B51" s="23" t="s">
        <v>909</v>
      </c>
      <c r="C51" s="102">
        <v>100</v>
      </c>
      <c r="D51" s="103"/>
      <c r="E51" s="103"/>
      <c r="F51" s="143">
        <v>3756619</v>
      </c>
      <c r="G51" s="426">
        <v>3756619</v>
      </c>
    </row>
    <row r="52" spans="1:7" ht="47.25">
      <c r="A52" s="131" t="s">
        <v>972</v>
      </c>
      <c r="B52" s="23" t="s">
        <v>909</v>
      </c>
      <c r="C52" s="64">
        <v>200</v>
      </c>
      <c r="D52" s="98"/>
      <c r="E52" s="98"/>
      <c r="F52" s="143">
        <v>3895158.76</v>
      </c>
      <c r="G52" s="426">
        <v>3895158.76</v>
      </c>
    </row>
    <row r="53" spans="1:7" ht="31.5">
      <c r="A53" s="131" t="s">
        <v>973</v>
      </c>
      <c r="B53" s="23" t="s">
        <v>909</v>
      </c>
      <c r="C53" s="64">
        <v>800</v>
      </c>
      <c r="D53" s="98"/>
      <c r="E53" s="98"/>
      <c r="F53" s="143">
        <v>133000</v>
      </c>
      <c r="G53" s="426">
        <v>133000</v>
      </c>
    </row>
    <row r="54" spans="1:7" ht="31.5">
      <c r="A54" s="233" t="s">
        <v>660</v>
      </c>
      <c r="B54" s="24" t="s">
        <v>378</v>
      </c>
      <c r="C54" s="230"/>
      <c r="D54" s="165">
        <f>D55</f>
        <v>-1714607.6</v>
      </c>
      <c r="E54" s="165">
        <f>E55+E65</f>
        <v>0</v>
      </c>
      <c r="F54" s="165">
        <f>F55+F65+F68</f>
        <v>9159637.8</v>
      </c>
      <c r="G54" s="424">
        <f>G55+G65+G68</f>
        <v>9159637.8</v>
      </c>
    </row>
    <row r="55" spans="1:7" ht="34.5" customHeight="1">
      <c r="A55" s="231" t="s">
        <v>912</v>
      </c>
      <c r="B55" s="21" t="s">
        <v>379</v>
      </c>
      <c r="C55" s="63"/>
      <c r="D55" s="104">
        <f>SUM(D57:D63)</f>
        <v>-1714607.6</v>
      </c>
      <c r="E55" s="104">
        <f>E56</f>
        <v>0</v>
      </c>
      <c r="F55" s="104">
        <f>F56</f>
        <v>9089637.8</v>
      </c>
      <c r="G55" s="425">
        <f>G56</f>
        <v>9089637.8</v>
      </c>
    </row>
    <row r="56" spans="1:7" ht="31.5">
      <c r="A56" s="231" t="s">
        <v>911</v>
      </c>
      <c r="B56" s="21" t="s">
        <v>380</v>
      </c>
      <c r="C56" s="63"/>
      <c r="D56" s="104"/>
      <c r="E56" s="104">
        <f>SUM(E57:E64)</f>
        <v>0</v>
      </c>
      <c r="F56" s="104">
        <f>SUM(F57:F64)</f>
        <v>9089637.8</v>
      </c>
      <c r="G56" s="425">
        <f>SUM(G57:G64)</f>
        <v>9089637.8</v>
      </c>
    </row>
    <row r="57" spans="1:7" ht="47.25">
      <c r="A57" s="234" t="s">
        <v>913</v>
      </c>
      <c r="B57" s="22" t="s">
        <v>381</v>
      </c>
      <c r="C57" s="64">
        <v>200</v>
      </c>
      <c r="D57" s="98">
        <v>-1714607.6</v>
      </c>
      <c r="E57" s="98"/>
      <c r="F57" s="143">
        <f>3105606.06-941354.1</f>
        <v>2164251.96</v>
      </c>
      <c r="G57" s="426">
        <f>3105606.06-941354.1</f>
        <v>2164251.96</v>
      </c>
    </row>
    <row r="58" spans="1:7" ht="81.75" customHeight="1">
      <c r="A58" s="234" t="s">
        <v>1237</v>
      </c>
      <c r="B58" s="22" t="s">
        <v>1236</v>
      </c>
      <c r="C58" s="64">
        <v>200</v>
      </c>
      <c r="D58" s="98"/>
      <c r="E58" s="98"/>
      <c r="F58" s="143">
        <v>0</v>
      </c>
      <c r="G58" s="426">
        <v>0</v>
      </c>
    </row>
    <row r="59" spans="1:7" ht="47.25">
      <c r="A59" s="234" t="s">
        <v>914</v>
      </c>
      <c r="B59" s="22" t="s">
        <v>949</v>
      </c>
      <c r="C59" s="64">
        <v>200</v>
      </c>
      <c r="D59" s="98"/>
      <c r="E59" s="98"/>
      <c r="F59" s="143">
        <v>4494799.24</v>
      </c>
      <c r="G59" s="426">
        <v>4494799.24</v>
      </c>
    </row>
    <row r="60" spans="1:7" ht="47.25">
      <c r="A60" s="234" t="s">
        <v>1258</v>
      </c>
      <c r="B60" s="22" t="s">
        <v>949</v>
      </c>
      <c r="C60" s="64">
        <v>400</v>
      </c>
      <c r="D60" s="98"/>
      <c r="E60" s="98"/>
      <c r="F60" s="143">
        <v>349232.5</v>
      </c>
      <c r="G60" s="426">
        <v>349232.5</v>
      </c>
    </row>
    <row r="61" spans="1:7" ht="31.5">
      <c r="A61" s="234" t="s">
        <v>930</v>
      </c>
      <c r="B61" s="22" t="s">
        <v>950</v>
      </c>
      <c r="C61" s="64">
        <v>200</v>
      </c>
      <c r="D61" s="98"/>
      <c r="E61" s="98"/>
      <c r="F61" s="143">
        <v>0</v>
      </c>
      <c r="G61" s="426">
        <v>0</v>
      </c>
    </row>
    <row r="62" spans="1:7" ht="47.25">
      <c r="A62" s="234" t="s">
        <v>997</v>
      </c>
      <c r="B62" s="22" t="s">
        <v>951</v>
      </c>
      <c r="C62" s="64">
        <v>200</v>
      </c>
      <c r="D62" s="98"/>
      <c r="E62" s="98"/>
      <c r="F62" s="143">
        <v>140000</v>
      </c>
      <c r="G62" s="426">
        <v>140000</v>
      </c>
    </row>
    <row r="63" spans="1:7" ht="208.5" customHeight="1">
      <c r="A63" s="234" t="s">
        <v>757</v>
      </c>
      <c r="B63" s="22" t="s">
        <v>755</v>
      </c>
      <c r="C63" s="64">
        <v>500</v>
      </c>
      <c r="D63" s="98"/>
      <c r="E63" s="98"/>
      <c r="F63" s="143">
        <f>1000000+941354.1</f>
        <v>1941354.1</v>
      </c>
      <c r="G63" s="426">
        <f>1000000+941354.1</f>
        <v>1941354.1</v>
      </c>
    </row>
    <row r="64" spans="1:7" ht="81.75" customHeight="1">
      <c r="A64" s="234" t="s">
        <v>1034</v>
      </c>
      <c r="B64" s="22" t="s">
        <v>1029</v>
      </c>
      <c r="C64" s="64">
        <v>200</v>
      </c>
      <c r="D64" s="98"/>
      <c r="E64" s="98"/>
      <c r="F64" s="98"/>
      <c r="G64" s="428"/>
    </row>
    <row r="65" spans="1:7" ht="31.5">
      <c r="A65" s="231" t="s">
        <v>1453</v>
      </c>
      <c r="B65" s="127" t="s">
        <v>633</v>
      </c>
      <c r="C65" s="128"/>
      <c r="D65" s="129"/>
      <c r="E65" s="129">
        <f aca="true" t="shared" si="1" ref="E65:G66">E66</f>
        <v>0</v>
      </c>
      <c r="F65" s="129">
        <f t="shared" si="1"/>
        <v>50000</v>
      </c>
      <c r="G65" s="427">
        <f t="shared" si="1"/>
        <v>50000</v>
      </c>
    </row>
    <row r="66" spans="1:7" ht="31.5">
      <c r="A66" s="231" t="s">
        <v>632</v>
      </c>
      <c r="B66" s="127" t="s">
        <v>634</v>
      </c>
      <c r="C66" s="128"/>
      <c r="D66" s="129"/>
      <c r="E66" s="129">
        <f t="shared" si="1"/>
        <v>0</v>
      </c>
      <c r="F66" s="129">
        <f t="shared" si="1"/>
        <v>50000</v>
      </c>
      <c r="G66" s="427">
        <f t="shared" si="1"/>
        <v>50000</v>
      </c>
    </row>
    <row r="67" spans="1:7" ht="31.5">
      <c r="A67" s="234" t="s">
        <v>915</v>
      </c>
      <c r="B67" s="22" t="s">
        <v>635</v>
      </c>
      <c r="C67" s="64">
        <v>200</v>
      </c>
      <c r="D67" s="98"/>
      <c r="E67" s="98"/>
      <c r="F67" s="143">
        <v>50000</v>
      </c>
      <c r="G67" s="426">
        <v>50000</v>
      </c>
    </row>
    <row r="68" spans="1:7" ht="47.25">
      <c r="A68" s="136" t="s">
        <v>1150</v>
      </c>
      <c r="B68" s="21" t="s">
        <v>1361</v>
      </c>
      <c r="C68" s="128"/>
      <c r="D68" s="129"/>
      <c r="E68" s="129">
        <f>E69</f>
        <v>0</v>
      </c>
      <c r="F68" s="129">
        <f>F69</f>
        <v>20000</v>
      </c>
      <c r="G68" s="427">
        <f>G69</f>
        <v>20000</v>
      </c>
    </row>
    <row r="69" spans="1:7" ht="51" customHeight="1">
      <c r="A69" s="136" t="s">
        <v>1145</v>
      </c>
      <c r="B69" s="21" t="s">
        <v>1362</v>
      </c>
      <c r="C69" s="128"/>
      <c r="D69" s="129"/>
      <c r="E69" s="129">
        <f>SUM(E70:E71)</f>
        <v>0</v>
      </c>
      <c r="F69" s="129">
        <f>SUM(F70:F71)</f>
        <v>20000</v>
      </c>
      <c r="G69" s="427">
        <f>SUM(G70:G71)</f>
        <v>20000</v>
      </c>
    </row>
    <row r="70" spans="1:7" ht="63">
      <c r="A70" s="162" t="s">
        <v>1146</v>
      </c>
      <c r="B70" s="23" t="s">
        <v>1363</v>
      </c>
      <c r="C70" s="102">
        <v>200</v>
      </c>
      <c r="D70" s="103"/>
      <c r="E70" s="103"/>
      <c r="F70" s="103">
        <v>0</v>
      </c>
      <c r="G70" s="429">
        <v>0</v>
      </c>
    </row>
    <row r="71" spans="1:7" ht="81.75" customHeight="1">
      <c r="A71" s="162" t="s">
        <v>1147</v>
      </c>
      <c r="B71" s="23" t="s">
        <v>1364</v>
      </c>
      <c r="C71" s="102">
        <v>200</v>
      </c>
      <c r="D71" s="103"/>
      <c r="E71" s="103"/>
      <c r="F71" s="143">
        <v>20000</v>
      </c>
      <c r="G71" s="426">
        <v>20000</v>
      </c>
    </row>
    <row r="72" spans="1:7" ht="31.5">
      <c r="A72" s="160" t="s">
        <v>661</v>
      </c>
      <c r="B72" s="24" t="s">
        <v>382</v>
      </c>
      <c r="C72" s="230"/>
      <c r="D72" s="165">
        <f>D73</f>
        <v>0</v>
      </c>
      <c r="E72" s="165">
        <f>E73</f>
        <v>0</v>
      </c>
      <c r="F72" s="165">
        <f>F73+F81</f>
        <v>458000</v>
      </c>
      <c r="G72" s="424">
        <f>G73+G81</f>
        <v>458000</v>
      </c>
    </row>
    <row r="73" spans="1:7" ht="31.5">
      <c r="A73" s="161" t="s">
        <v>383</v>
      </c>
      <c r="B73" s="21" t="s">
        <v>384</v>
      </c>
      <c r="C73" s="63"/>
      <c r="D73" s="104">
        <f>SUM(D75:D77)</f>
        <v>0</v>
      </c>
      <c r="E73" s="104">
        <f>E74+E78</f>
        <v>0</v>
      </c>
      <c r="F73" s="104">
        <f>F74+F78</f>
        <v>458000</v>
      </c>
      <c r="G73" s="425">
        <f>G74+G78</f>
        <v>458000</v>
      </c>
    </row>
    <row r="74" spans="1:7" ht="31.5">
      <c r="A74" s="161" t="s">
        <v>385</v>
      </c>
      <c r="B74" s="21" t="s">
        <v>386</v>
      </c>
      <c r="C74" s="63"/>
      <c r="D74" s="104"/>
      <c r="E74" s="104">
        <f>SUM(E75:E77)</f>
        <v>0</v>
      </c>
      <c r="F74" s="104">
        <f>SUM(F75:F77)</f>
        <v>30000</v>
      </c>
      <c r="G74" s="425">
        <f>SUM(G75:G77)</f>
        <v>30000</v>
      </c>
    </row>
    <row r="75" spans="1:7" ht="33.75" customHeight="1">
      <c r="A75" s="65" t="s">
        <v>615</v>
      </c>
      <c r="B75" s="22" t="s">
        <v>387</v>
      </c>
      <c r="C75" s="64">
        <v>200</v>
      </c>
      <c r="D75" s="98"/>
      <c r="E75" s="98"/>
      <c r="F75" s="143">
        <v>10000</v>
      </c>
      <c r="G75" s="426">
        <v>10000</v>
      </c>
    </row>
    <row r="76" spans="1:7" ht="47.25">
      <c r="A76" s="65" t="s">
        <v>1408</v>
      </c>
      <c r="B76" s="22" t="s">
        <v>388</v>
      </c>
      <c r="C76" s="64">
        <v>200</v>
      </c>
      <c r="D76" s="98"/>
      <c r="E76" s="98"/>
      <c r="F76" s="143">
        <v>20000</v>
      </c>
      <c r="G76" s="426">
        <v>20000</v>
      </c>
    </row>
    <row r="77" spans="1:7" ht="47.25">
      <c r="A77" s="65" t="s">
        <v>602</v>
      </c>
      <c r="B77" s="22" t="s">
        <v>389</v>
      </c>
      <c r="C77" s="64">
        <v>200</v>
      </c>
      <c r="D77" s="98"/>
      <c r="E77" s="98"/>
      <c r="F77" s="98">
        <v>0</v>
      </c>
      <c r="G77" s="428">
        <v>0</v>
      </c>
    </row>
    <row r="78" spans="1:7" ht="31.5">
      <c r="A78" s="161" t="s">
        <v>933</v>
      </c>
      <c r="B78" s="127" t="s">
        <v>931</v>
      </c>
      <c r="C78" s="128"/>
      <c r="D78" s="129"/>
      <c r="E78" s="129">
        <f>SUM(E79:E80)</f>
        <v>0</v>
      </c>
      <c r="F78" s="129">
        <f>SUM(F79:F84)</f>
        <v>428000</v>
      </c>
      <c r="G78" s="427">
        <f>SUM(G79:G84)</f>
        <v>428000</v>
      </c>
    </row>
    <row r="79" spans="1:7" ht="47.25">
      <c r="A79" s="65" t="s">
        <v>630</v>
      </c>
      <c r="B79" s="22" t="s">
        <v>932</v>
      </c>
      <c r="C79" s="64">
        <v>800</v>
      </c>
      <c r="D79" s="98"/>
      <c r="E79" s="98"/>
      <c r="F79" s="143">
        <v>258000</v>
      </c>
      <c r="G79" s="426">
        <v>258000</v>
      </c>
    </row>
    <row r="80" spans="1:7" ht="117.75" customHeight="1">
      <c r="A80" s="65" t="s">
        <v>1409</v>
      </c>
      <c r="B80" s="22" t="s">
        <v>952</v>
      </c>
      <c r="C80" s="64">
        <v>800</v>
      </c>
      <c r="D80" s="98"/>
      <c r="E80" s="98"/>
      <c r="F80" s="143">
        <v>170000</v>
      </c>
      <c r="G80" s="426">
        <v>170000</v>
      </c>
    </row>
    <row r="81" spans="1:7" ht="31.5">
      <c r="A81" s="161" t="s">
        <v>1400</v>
      </c>
      <c r="B81" s="127" t="s">
        <v>1398</v>
      </c>
      <c r="C81" s="128"/>
      <c r="D81" s="129"/>
      <c r="E81" s="129">
        <f>E82</f>
        <v>0</v>
      </c>
      <c r="F81" s="129">
        <f>F82</f>
        <v>0</v>
      </c>
      <c r="G81" s="427">
        <f>G82</f>
        <v>0</v>
      </c>
    </row>
    <row r="82" spans="1:7" ht="33.75" customHeight="1">
      <c r="A82" s="232" t="s">
        <v>1262</v>
      </c>
      <c r="B82" s="127" t="s">
        <v>1399</v>
      </c>
      <c r="C82" s="128"/>
      <c r="D82" s="129"/>
      <c r="E82" s="129">
        <f>E83+E84</f>
        <v>0</v>
      </c>
      <c r="F82" s="129">
        <f>F83+F84</f>
        <v>0</v>
      </c>
      <c r="G82" s="427">
        <f>G83+G84</f>
        <v>0</v>
      </c>
    </row>
    <row r="83" spans="1:7" ht="66.75" customHeight="1">
      <c r="A83" s="65" t="s">
        <v>1264</v>
      </c>
      <c r="B83" s="22" t="s">
        <v>1406</v>
      </c>
      <c r="C83" s="64">
        <v>200</v>
      </c>
      <c r="D83" s="98"/>
      <c r="E83" s="98"/>
      <c r="F83" s="98">
        <v>0</v>
      </c>
      <c r="G83" s="428">
        <v>0</v>
      </c>
    </row>
    <row r="84" spans="1:7" ht="80.25" customHeight="1">
      <c r="A84" s="65" t="s">
        <v>1265</v>
      </c>
      <c r="B84" s="22" t="s">
        <v>1407</v>
      </c>
      <c r="C84" s="64">
        <v>200</v>
      </c>
      <c r="D84" s="98"/>
      <c r="E84" s="98"/>
      <c r="F84" s="98">
        <v>0</v>
      </c>
      <c r="G84" s="428">
        <v>0</v>
      </c>
    </row>
    <row r="85" spans="1:7" ht="31.5">
      <c r="A85" s="226" t="s">
        <v>892</v>
      </c>
      <c r="B85" s="24" t="s">
        <v>390</v>
      </c>
      <c r="C85" s="230"/>
      <c r="D85" s="165" t="e">
        <f>D86+#REF!+#REF!</f>
        <v>#REF!</v>
      </c>
      <c r="E85" s="165">
        <f>E86</f>
        <v>0</v>
      </c>
      <c r="F85" s="165">
        <f>F86</f>
        <v>66000</v>
      </c>
      <c r="G85" s="424">
        <f>G86</f>
        <v>66000</v>
      </c>
    </row>
    <row r="86" spans="1:7" ht="31.5">
      <c r="A86" s="136" t="s">
        <v>897</v>
      </c>
      <c r="B86" s="21" t="s">
        <v>391</v>
      </c>
      <c r="C86" s="63"/>
      <c r="D86" s="104">
        <f>D100</f>
        <v>0</v>
      </c>
      <c r="E86" s="104">
        <f>E87+E93+E99</f>
        <v>0</v>
      </c>
      <c r="F86" s="104">
        <f>F87+F93+F99</f>
        <v>66000</v>
      </c>
      <c r="G86" s="425">
        <f>G87+G93+G99</f>
        <v>66000</v>
      </c>
    </row>
    <row r="87" spans="1:7" ht="31.5">
      <c r="A87" s="136" t="s">
        <v>940</v>
      </c>
      <c r="B87" s="21" t="s">
        <v>392</v>
      </c>
      <c r="C87" s="63"/>
      <c r="D87" s="104"/>
      <c r="E87" s="104">
        <f>SUM(E88:E92)</f>
        <v>0</v>
      </c>
      <c r="F87" s="104">
        <f>SUM(F88:F92)</f>
        <v>11500</v>
      </c>
      <c r="G87" s="425">
        <f>SUM(G88:G92)</f>
        <v>11500</v>
      </c>
    </row>
    <row r="88" spans="1:7" ht="69.75" customHeight="1">
      <c r="A88" s="71" t="s">
        <v>896</v>
      </c>
      <c r="B88" s="22" t="s">
        <v>1365</v>
      </c>
      <c r="C88" s="64">
        <v>200</v>
      </c>
      <c r="D88" s="98"/>
      <c r="E88" s="98"/>
      <c r="F88" s="98"/>
      <c r="G88" s="428"/>
    </row>
    <row r="89" spans="1:7" ht="63">
      <c r="A89" s="71" t="s">
        <v>898</v>
      </c>
      <c r="B89" s="22" t="s">
        <v>1366</v>
      </c>
      <c r="C89" s="64">
        <v>200</v>
      </c>
      <c r="D89" s="98"/>
      <c r="E89" s="98"/>
      <c r="F89" s="98"/>
      <c r="G89" s="428"/>
    </row>
    <row r="90" spans="1:7" ht="51" customHeight="1">
      <c r="A90" s="71" t="s">
        <v>899</v>
      </c>
      <c r="B90" s="22" t="s">
        <v>1367</v>
      </c>
      <c r="C90" s="64">
        <v>200</v>
      </c>
      <c r="D90" s="98"/>
      <c r="E90" s="98"/>
      <c r="F90" s="98"/>
      <c r="G90" s="428"/>
    </row>
    <row r="91" spans="1:7" ht="63.75" customHeight="1">
      <c r="A91" s="237" t="s">
        <v>1386</v>
      </c>
      <c r="B91" s="141" t="s">
        <v>1387</v>
      </c>
      <c r="C91" s="142">
        <v>200</v>
      </c>
      <c r="D91" s="143"/>
      <c r="E91" s="143"/>
      <c r="F91" s="143">
        <v>11500</v>
      </c>
      <c r="G91" s="426">
        <v>11500</v>
      </c>
    </row>
    <row r="92" spans="1:7" ht="63">
      <c r="A92" s="71" t="s">
        <v>901</v>
      </c>
      <c r="B92" s="22" t="s">
        <v>1369</v>
      </c>
      <c r="C92" s="64">
        <v>200</v>
      </c>
      <c r="D92" s="98"/>
      <c r="E92" s="98"/>
      <c r="F92" s="98"/>
      <c r="G92" s="428"/>
    </row>
    <row r="93" spans="1:7" ht="31.5">
      <c r="A93" s="136" t="s">
        <v>941</v>
      </c>
      <c r="B93" s="21" t="s">
        <v>1370</v>
      </c>
      <c r="C93" s="128"/>
      <c r="D93" s="129"/>
      <c r="E93" s="129">
        <f>SUM(E94:E98)</f>
        <v>0</v>
      </c>
      <c r="F93" s="129">
        <f>SUM(F94:F98)</f>
        <v>34500</v>
      </c>
      <c r="G93" s="427">
        <f>SUM(G94:G98)</f>
        <v>34500</v>
      </c>
    </row>
    <row r="94" spans="1:7" ht="48" customHeight="1">
      <c r="A94" s="71" t="s">
        <v>944</v>
      </c>
      <c r="B94" s="22" t="s">
        <v>1371</v>
      </c>
      <c r="C94" s="64">
        <v>200</v>
      </c>
      <c r="D94" s="98"/>
      <c r="E94" s="98"/>
      <c r="F94" s="98"/>
      <c r="G94" s="428"/>
    </row>
    <row r="95" spans="1:7" ht="49.5" customHeight="1">
      <c r="A95" s="237" t="s">
        <v>1389</v>
      </c>
      <c r="B95" s="141" t="s">
        <v>1390</v>
      </c>
      <c r="C95" s="142">
        <v>200</v>
      </c>
      <c r="D95" s="143"/>
      <c r="E95" s="143"/>
      <c r="F95" s="143">
        <v>30000</v>
      </c>
      <c r="G95" s="426">
        <v>30000</v>
      </c>
    </row>
    <row r="96" spans="1:7" ht="48.75" customHeight="1">
      <c r="A96" s="237" t="s">
        <v>1417</v>
      </c>
      <c r="B96" s="141" t="s">
        <v>1418</v>
      </c>
      <c r="C96" s="142">
        <v>200</v>
      </c>
      <c r="D96" s="143"/>
      <c r="E96" s="143"/>
      <c r="F96" s="143">
        <v>2000</v>
      </c>
      <c r="G96" s="426">
        <v>2000</v>
      </c>
    </row>
    <row r="97" spans="1:7" ht="63">
      <c r="A97" s="71" t="s">
        <v>1072</v>
      </c>
      <c r="B97" s="22" t="s">
        <v>1372</v>
      </c>
      <c r="C97" s="64">
        <v>200</v>
      </c>
      <c r="D97" s="98"/>
      <c r="E97" s="98"/>
      <c r="F97" s="98">
        <v>2500</v>
      </c>
      <c r="G97" s="428">
        <v>2500</v>
      </c>
    </row>
    <row r="98" spans="1:7" ht="63">
      <c r="A98" s="237" t="s">
        <v>946</v>
      </c>
      <c r="B98" s="141" t="s">
        <v>1373</v>
      </c>
      <c r="C98" s="142">
        <v>200</v>
      </c>
      <c r="D98" s="143"/>
      <c r="E98" s="143"/>
      <c r="F98" s="143">
        <v>0</v>
      </c>
      <c r="G98" s="426">
        <v>0</v>
      </c>
    </row>
    <row r="99" spans="1:7" ht="33" customHeight="1">
      <c r="A99" s="136" t="s">
        <v>942</v>
      </c>
      <c r="B99" s="21" t="s">
        <v>1374</v>
      </c>
      <c r="C99" s="128"/>
      <c r="D99" s="129"/>
      <c r="E99" s="129">
        <f>SUM(E100:E103)</f>
        <v>0</v>
      </c>
      <c r="F99" s="129">
        <f>SUM(F100:F103)</f>
        <v>20000</v>
      </c>
      <c r="G99" s="427">
        <f>SUM(G100:G103)</f>
        <v>20000</v>
      </c>
    </row>
    <row r="100" spans="1:7" ht="60.75" customHeight="1">
      <c r="A100" s="71" t="s">
        <v>902</v>
      </c>
      <c r="B100" s="22" t="s">
        <v>1375</v>
      </c>
      <c r="C100" s="64">
        <v>200</v>
      </c>
      <c r="D100" s="98"/>
      <c r="E100" s="98"/>
      <c r="F100" s="98"/>
      <c r="G100" s="428"/>
    </row>
    <row r="101" spans="1:7" ht="63" customHeight="1">
      <c r="A101" s="237" t="s">
        <v>1331</v>
      </c>
      <c r="B101" s="141" t="s">
        <v>1376</v>
      </c>
      <c r="C101" s="142">
        <v>200</v>
      </c>
      <c r="D101" s="143"/>
      <c r="E101" s="143"/>
      <c r="F101" s="143">
        <v>15000</v>
      </c>
      <c r="G101" s="426">
        <v>15000</v>
      </c>
    </row>
    <row r="102" spans="1:7" ht="61.5" customHeight="1">
      <c r="A102" s="237" t="s">
        <v>1335</v>
      </c>
      <c r="B102" s="141" t="s">
        <v>1377</v>
      </c>
      <c r="C102" s="142">
        <v>200</v>
      </c>
      <c r="D102" s="143"/>
      <c r="E102" s="143"/>
      <c r="F102" s="143">
        <v>5000</v>
      </c>
      <c r="G102" s="426">
        <v>5000</v>
      </c>
    </row>
    <row r="103" spans="1:7" ht="60.75" customHeight="1">
      <c r="A103" s="237" t="s">
        <v>903</v>
      </c>
      <c r="B103" s="141" t="s">
        <v>1378</v>
      </c>
      <c r="C103" s="142">
        <v>200</v>
      </c>
      <c r="D103" s="143"/>
      <c r="E103" s="143"/>
      <c r="F103" s="143"/>
      <c r="G103" s="426"/>
    </row>
    <row r="104" spans="1:7" ht="63">
      <c r="A104" s="241" t="s">
        <v>666</v>
      </c>
      <c r="B104" s="24" t="s">
        <v>393</v>
      </c>
      <c r="C104" s="128"/>
      <c r="D104" s="129"/>
      <c r="E104" s="129">
        <f aca="true" t="shared" si="2" ref="E104:G105">E105</f>
        <v>33868930</v>
      </c>
      <c r="F104" s="129">
        <f t="shared" si="2"/>
        <v>33868930</v>
      </c>
      <c r="G104" s="427">
        <f t="shared" si="2"/>
        <v>0</v>
      </c>
    </row>
    <row r="105" spans="1:7" ht="47.25">
      <c r="A105" s="136" t="s">
        <v>627</v>
      </c>
      <c r="B105" s="21" t="s">
        <v>394</v>
      </c>
      <c r="C105" s="128"/>
      <c r="D105" s="129"/>
      <c r="E105" s="129">
        <f t="shared" si="2"/>
        <v>33868930</v>
      </c>
      <c r="F105" s="129">
        <f t="shared" si="2"/>
        <v>33868930</v>
      </c>
      <c r="G105" s="427">
        <f t="shared" si="2"/>
        <v>0</v>
      </c>
    </row>
    <row r="106" spans="1:7" ht="47.25">
      <c r="A106" s="136" t="s">
        <v>1238</v>
      </c>
      <c r="B106" s="21" t="s">
        <v>395</v>
      </c>
      <c r="C106" s="128"/>
      <c r="D106" s="129"/>
      <c r="E106" s="129">
        <f>E107+E108</f>
        <v>33868930</v>
      </c>
      <c r="F106" s="129">
        <f>F107+F108</f>
        <v>33868930</v>
      </c>
      <c r="G106" s="427">
        <f>G107+G108</f>
        <v>0</v>
      </c>
    </row>
    <row r="107" spans="1:7" ht="49.5" customHeight="1">
      <c r="A107" s="237" t="s">
        <v>1481</v>
      </c>
      <c r="B107" s="141" t="s">
        <v>1482</v>
      </c>
      <c r="C107" s="142">
        <v>400</v>
      </c>
      <c r="D107" s="143"/>
      <c r="E107" s="143">
        <v>33868930</v>
      </c>
      <c r="F107" s="143">
        <v>33868930</v>
      </c>
      <c r="G107" s="426">
        <v>0</v>
      </c>
    </row>
    <row r="108" spans="1:7" ht="62.25" customHeight="1">
      <c r="A108" s="162" t="s">
        <v>1039</v>
      </c>
      <c r="B108" s="23" t="s">
        <v>1380</v>
      </c>
      <c r="C108" s="102">
        <v>400</v>
      </c>
      <c r="D108" s="103"/>
      <c r="E108" s="103"/>
      <c r="F108" s="103"/>
      <c r="G108" s="429"/>
    </row>
    <row r="109" spans="1:7" ht="31.5">
      <c r="A109" s="160" t="s">
        <v>1384</v>
      </c>
      <c r="B109" s="24" t="s">
        <v>396</v>
      </c>
      <c r="C109" s="230"/>
      <c r="D109" s="165">
        <f>D110+D120</f>
        <v>442600</v>
      </c>
      <c r="E109" s="165">
        <f>E110+E120</f>
        <v>166048</v>
      </c>
      <c r="F109" s="165">
        <f>F110+F120+F130</f>
        <v>15210469</v>
      </c>
      <c r="G109" s="424">
        <f>G110+G120+G130</f>
        <v>15044421</v>
      </c>
    </row>
    <row r="110" spans="1:7" ht="31.5">
      <c r="A110" s="161" t="s">
        <v>1410</v>
      </c>
      <c r="B110" s="21" t="s">
        <v>397</v>
      </c>
      <c r="C110" s="63"/>
      <c r="D110" s="104">
        <f>SUM(D112:D113)</f>
        <v>181000</v>
      </c>
      <c r="E110" s="104">
        <f>E111</f>
        <v>59962</v>
      </c>
      <c r="F110" s="104">
        <f>F111+F118</f>
        <v>5572460.000000001</v>
      </c>
      <c r="G110" s="425">
        <f>G111+G118</f>
        <v>5512498.000000001</v>
      </c>
    </row>
    <row r="111" spans="1:7" ht="31.5">
      <c r="A111" s="161" t="s">
        <v>398</v>
      </c>
      <c r="B111" s="21" t="s">
        <v>399</v>
      </c>
      <c r="C111" s="63"/>
      <c r="D111" s="104"/>
      <c r="E111" s="104">
        <f>SUM(E112:E114)</f>
        <v>59962</v>
      </c>
      <c r="F111" s="104">
        <f>SUM(F112:F116)</f>
        <v>5440460.000000001</v>
      </c>
      <c r="G111" s="425">
        <f>SUM(G112:G116)</f>
        <v>5380498.000000001</v>
      </c>
    </row>
    <row r="112" spans="1:8" ht="66.75" customHeight="1">
      <c r="A112" s="65" t="s">
        <v>400</v>
      </c>
      <c r="B112" s="22" t="s">
        <v>401</v>
      </c>
      <c r="C112" s="64">
        <v>600</v>
      </c>
      <c r="D112" s="98">
        <v>-80600</v>
      </c>
      <c r="E112" s="98">
        <v>-606</v>
      </c>
      <c r="F112" s="143">
        <v>3921863.72</v>
      </c>
      <c r="G112" s="426">
        <f>3998750-61700-14580.28</f>
        <v>3922469.72</v>
      </c>
      <c r="H112" s="193"/>
    </row>
    <row r="113" spans="1:8" ht="82.5" customHeight="1">
      <c r="A113" s="65" t="s">
        <v>515</v>
      </c>
      <c r="B113" s="22" t="s">
        <v>402</v>
      </c>
      <c r="C113" s="64">
        <v>600</v>
      </c>
      <c r="D113" s="98">
        <v>261600</v>
      </c>
      <c r="E113" s="98">
        <v>59962</v>
      </c>
      <c r="F113" s="250">
        <v>1503410</v>
      </c>
      <c r="G113" s="430">
        <v>1443448</v>
      </c>
      <c r="H113" s="193"/>
    </row>
    <row r="114" spans="1:8" ht="78.75">
      <c r="A114" s="65" t="s">
        <v>569</v>
      </c>
      <c r="B114" s="22" t="s">
        <v>570</v>
      </c>
      <c r="C114" s="64">
        <v>600</v>
      </c>
      <c r="D114" s="98"/>
      <c r="E114" s="250">
        <v>606</v>
      </c>
      <c r="F114" s="250">
        <v>15186.28</v>
      </c>
      <c r="G114" s="430">
        <v>14580.28</v>
      </c>
      <c r="H114" s="193"/>
    </row>
    <row r="115" spans="1:7" ht="64.5" customHeight="1">
      <c r="A115" s="235" t="s">
        <v>1172</v>
      </c>
      <c r="B115" s="22" t="s">
        <v>1174</v>
      </c>
      <c r="C115" s="64">
        <v>600</v>
      </c>
      <c r="D115" s="98"/>
      <c r="E115" s="98"/>
      <c r="F115" s="103"/>
      <c r="G115" s="429"/>
    </row>
    <row r="116" spans="1:7" ht="65.25" customHeight="1">
      <c r="A116" s="235" t="s">
        <v>1166</v>
      </c>
      <c r="B116" s="22" t="s">
        <v>1175</v>
      </c>
      <c r="C116" s="64">
        <v>600</v>
      </c>
      <c r="D116" s="98"/>
      <c r="E116" s="98"/>
      <c r="F116" s="103"/>
      <c r="G116" s="429"/>
    </row>
    <row r="117" spans="1:7" ht="49.5" customHeight="1">
      <c r="A117" s="235" t="s">
        <v>1201</v>
      </c>
      <c r="B117" s="22" t="s">
        <v>1194</v>
      </c>
      <c r="C117" s="64">
        <v>600</v>
      </c>
      <c r="D117" s="98"/>
      <c r="E117" s="98"/>
      <c r="F117" s="103"/>
      <c r="G117" s="429"/>
    </row>
    <row r="118" spans="1:7" ht="33" customHeight="1">
      <c r="A118" s="161" t="s">
        <v>1355</v>
      </c>
      <c r="B118" s="21" t="s">
        <v>1340</v>
      </c>
      <c r="C118" s="63"/>
      <c r="D118" s="104"/>
      <c r="E118" s="104">
        <f>SUM(E119)</f>
        <v>0</v>
      </c>
      <c r="F118" s="104">
        <f>F119</f>
        <v>132000</v>
      </c>
      <c r="G118" s="425">
        <f>G119</f>
        <v>132000</v>
      </c>
    </row>
    <row r="119" spans="1:7" ht="50.25" customHeight="1">
      <c r="A119" s="65" t="s">
        <v>1455</v>
      </c>
      <c r="B119" s="22" t="s">
        <v>1341</v>
      </c>
      <c r="C119" s="64">
        <v>600</v>
      </c>
      <c r="D119" s="98"/>
      <c r="E119" s="98"/>
      <c r="F119" s="143">
        <v>132000</v>
      </c>
      <c r="G119" s="426">
        <v>132000</v>
      </c>
    </row>
    <row r="120" spans="1:7" ht="31.5">
      <c r="A120" s="161" t="s">
        <v>403</v>
      </c>
      <c r="B120" s="21" t="s">
        <v>404</v>
      </c>
      <c r="C120" s="63"/>
      <c r="D120" s="104">
        <f>SUM(D122:D123)</f>
        <v>261600</v>
      </c>
      <c r="E120" s="104">
        <f>E121</f>
        <v>106086</v>
      </c>
      <c r="F120" s="104">
        <f>F121</f>
        <v>9512009</v>
      </c>
      <c r="G120" s="425">
        <f>G121</f>
        <v>9405923</v>
      </c>
    </row>
    <row r="121" spans="1:7" ht="15.75">
      <c r="A121" s="161" t="s">
        <v>406</v>
      </c>
      <c r="B121" s="21" t="s">
        <v>405</v>
      </c>
      <c r="C121" s="63"/>
      <c r="D121" s="104"/>
      <c r="E121" s="104">
        <f>SUM(E122:E129)</f>
        <v>106086</v>
      </c>
      <c r="F121" s="104">
        <f>SUM(F122:F129)</f>
        <v>9512009</v>
      </c>
      <c r="G121" s="425">
        <f>SUM(G122:G129)</f>
        <v>9405923</v>
      </c>
    </row>
    <row r="122" spans="1:8" ht="65.25" customHeight="1">
      <c r="A122" s="235" t="s">
        <v>407</v>
      </c>
      <c r="B122" s="141" t="s">
        <v>408</v>
      </c>
      <c r="C122" s="142">
        <v>600</v>
      </c>
      <c r="D122" s="143"/>
      <c r="E122" s="143">
        <v>-1072</v>
      </c>
      <c r="F122" s="143">
        <v>6589401.51</v>
      </c>
      <c r="G122" s="426">
        <f>6616718-26244.49</f>
        <v>6590473.51</v>
      </c>
      <c r="H122" s="193"/>
    </row>
    <row r="123" spans="1:8" ht="81.75" customHeight="1">
      <c r="A123" s="235" t="s">
        <v>515</v>
      </c>
      <c r="B123" s="141" t="s">
        <v>409</v>
      </c>
      <c r="C123" s="142">
        <v>600</v>
      </c>
      <c r="D123" s="143">
        <v>261600</v>
      </c>
      <c r="E123" s="143">
        <v>106086</v>
      </c>
      <c r="F123" s="250">
        <v>2704291</v>
      </c>
      <c r="G123" s="430">
        <v>2598205</v>
      </c>
      <c r="H123" s="193"/>
    </row>
    <row r="124" spans="1:8" ht="78.75">
      <c r="A124" s="235" t="s">
        <v>569</v>
      </c>
      <c r="B124" s="141" t="s">
        <v>571</v>
      </c>
      <c r="C124" s="142">
        <v>600</v>
      </c>
      <c r="D124" s="143"/>
      <c r="E124" s="250">
        <v>1072</v>
      </c>
      <c r="F124" s="143">
        <v>27316.49</v>
      </c>
      <c r="G124" s="426">
        <v>26244.49</v>
      </c>
      <c r="H124" s="193"/>
    </row>
    <row r="125" spans="1:7" ht="63" customHeight="1">
      <c r="A125" s="235" t="s">
        <v>1168</v>
      </c>
      <c r="B125" s="141" t="s">
        <v>1177</v>
      </c>
      <c r="C125" s="142">
        <v>600</v>
      </c>
      <c r="D125" s="143"/>
      <c r="E125" s="236"/>
      <c r="F125" s="143">
        <v>191000</v>
      </c>
      <c r="G125" s="426">
        <v>191000</v>
      </c>
    </row>
    <row r="126" spans="1:7" ht="65.25" customHeight="1">
      <c r="A126" s="235" t="s">
        <v>1170</v>
      </c>
      <c r="B126" s="141" t="s">
        <v>1176</v>
      </c>
      <c r="C126" s="142">
        <v>600</v>
      </c>
      <c r="D126" s="143"/>
      <c r="E126" s="143"/>
      <c r="F126" s="143"/>
      <c r="G126" s="426"/>
    </row>
    <row r="127" spans="1:7" ht="48" customHeight="1">
      <c r="A127" s="235" t="s">
        <v>1202</v>
      </c>
      <c r="B127" s="141" t="s">
        <v>1196</v>
      </c>
      <c r="C127" s="142">
        <v>600</v>
      </c>
      <c r="D127" s="143"/>
      <c r="E127" s="143"/>
      <c r="F127" s="143"/>
      <c r="G127" s="426"/>
    </row>
    <row r="128" spans="1:7" ht="49.5" customHeight="1">
      <c r="A128" s="65" t="s">
        <v>558</v>
      </c>
      <c r="B128" s="22" t="s">
        <v>769</v>
      </c>
      <c r="C128" s="64">
        <v>600</v>
      </c>
      <c r="D128" s="98"/>
      <c r="E128" s="98"/>
      <c r="F128" s="98"/>
      <c r="G128" s="428"/>
    </row>
    <row r="129" spans="1:7" ht="85.5" customHeight="1">
      <c r="A129" s="65" t="s">
        <v>1251</v>
      </c>
      <c r="B129" s="22" t="s">
        <v>1249</v>
      </c>
      <c r="C129" s="64">
        <v>600</v>
      </c>
      <c r="D129" s="98"/>
      <c r="E129" s="98"/>
      <c r="F129" s="98"/>
      <c r="G129" s="428"/>
    </row>
    <row r="130" spans="1:7" ht="18" customHeight="1">
      <c r="A130" s="161" t="s">
        <v>1344</v>
      </c>
      <c r="B130" s="21" t="s">
        <v>1345</v>
      </c>
      <c r="C130" s="63"/>
      <c r="D130" s="104" t="e">
        <f>SUM(D132:D133)</f>
        <v>#REF!</v>
      </c>
      <c r="E130" s="104">
        <f>E131</f>
        <v>0</v>
      </c>
      <c r="F130" s="104">
        <f>F131</f>
        <v>126000</v>
      </c>
      <c r="G130" s="425">
        <f>G131</f>
        <v>126000</v>
      </c>
    </row>
    <row r="131" spans="1:7" ht="19.5" customHeight="1">
      <c r="A131" s="161" t="s">
        <v>1382</v>
      </c>
      <c r="B131" s="21" t="s">
        <v>1346</v>
      </c>
      <c r="C131" s="63"/>
      <c r="D131" s="104"/>
      <c r="E131" s="104">
        <f>SUM(E132)</f>
        <v>0</v>
      </c>
      <c r="F131" s="104">
        <f>F132</f>
        <v>126000</v>
      </c>
      <c r="G131" s="425">
        <f>G132</f>
        <v>126000</v>
      </c>
    </row>
    <row r="132" spans="1:7" ht="36.75" customHeight="1">
      <c r="A132" s="65" t="s">
        <v>1347</v>
      </c>
      <c r="B132" s="22" t="s">
        <v>1348</v>
      </c>
      <c r="C132" s="64">
        <v>200</v>
      </c>
      <c r="D132" s="98"/>
      <c r="E132" s="98"/>
      <c r="F132" s="143">
        <v>126000</v>
      </c>
      <c r="G132" s="426">
        <v>126000</v>
      </c>
    </row>
    <row r="133" spans="1:7" ht="47.25">
      <c r="A133" s="160" t="s">
        <v>662</v>
      </c>
      <c r="B133" s="24" t="s">
        <v>410</v>
      </c>
      <c r="C133" s="230"/>
      <c r="D133" s="165" t="e">
        <f>D134+D137+D150+#REF!</f>
        <v>#REF!</v>
      </c>
      <c r="E133" s="165">
        <f>E134+E137+E150+E153+E158+E163+E167</f>
        <v>3599635.0300000003</v>
      </c>
      <c r="F133" s="165">
        <f>F134+F137+F150+F153+F158+F163+F167</f>
        <v>22818986.56</v>
      </c>
      <c r="G133" s="424">
        <f>G134+G137+G150+G153+G158+G163+G167</f>
        <v>19219351.53</v>
      </c>
    </row>
    <row r="134" spans="1:7" ht="31.5">
      <c r="A134" s="161" t="s">
        <v>411</v>
      </c>
      <c r="B134" s="21" t="s">
        <v>412</v>
      </c>
      <c r="C134" s="63"/>
      <c r="D134" s="104" t="e">
        <f>D136+#REF!+#REF!</f>
        <v>#REF!</v>
      </c>
      <c r="E134" s="104">
        <f>E135</f>
        <v>0</v>
      </c>
      <c r="F134" s="104">
        <f>F135</f>
        <v>1959694.96</v>
      </c>
      <c r="G134" s="425">
        <f>G135</f>
        <v>1959694.96</v>
      </c>
    </row>
    <row r="135" spans="1:7" ht="34.5" customHeight="1">
      <c r="A135" s="161" t="s">
        <v>413</v>
      </c>
      <c r="B135" s="21" t="s">
        <v>414</v>
      </c>
      <c r="C135" s="63"/>
      <c r="D135" s="104"/>
      <c r="E135" s="104">
        <f>SUM(E136:E136)</f>
        <v>0</v>
      </c>
      <c r="F135" s="104">
        <f>SUM(F136:F136)</f>
        <v>1959694.96</v>
      </c>
      <c r="G135" s="425">
        <f>SUM(G136:G136)</f>
        <v>1959694.96</v>
      </c>
    </row>
    <row r="136" spans="1:7" ht="53.25" customHeight="1">
      <c r="A136" s="66" t="s">
        <v>603</v>
      </c>
      <c r="B136" s="22" t="s">
        <v>415</v>
      </c>
      <c r="C136" s="64">
        <v>200</v>
      </c>
      <c r="D136" s="98">
        <v>-220000</v>
      </c>
      <c r="E136" s="98"/>
      <c r="F136" s="143">
        <v>1959694.96</v>
      </c>
      <c r="G136" s="426">
        <v>1959694.96</v>
      </c>
    </row>
    <row r="137" spans="1:7" ht="47.25" customHeight="1">
      <c r="A137" s="161" t="s">
        <v>677</v>
      </c>
      <c r="B137" s="21" t="s">
        <v>416</v>
      </c>
      <c r="C137" s="63"/>
      <c r="D137" s="104" t="e">
        <f>#REF!+D148+#REF!+#REF!+#REF!</f>
        <v>#REF!</v>
      </c>
      <c r="E137" s="104">
        <f>E138+E147</f>
        <v>3202383.7</v>
      </c>
      <c r="F137" s="104">
        <f>F138+F147</f>
        <v>12237064.05</v>
      </c>
      <c r="G137" s="425">
        <f>G138+G147</f>
        <v>9034680.35</v>
      </c>
    </row>
    <row r="138" spans="1:9" ht="50.25" customHeight="1">
      <c r="A138" s="161" t="s">
        <v>916</v>
      </c>
      <c r="B138" s="21" t="s">
        <v>417</v>
      </c>
      <c r="C138" s="63"/>
      <c r="D138" s="104"/>
      <c r="E138" s="104">
        <f>SUM(E139:E146)</f>
        <v>3113383.7</v>
      </c>
      <c r="F138" s="129">
        <f>SUM(F139:F146)</f>
        <v>10548064.05</v>
      </c>
      <c r="G138" s="427">
        <f>SUM(G139:G146)</f>
        <v>7434680.35</v>
      </c>
      <c r="H138" s="171"/>
      <c r="I138" s="171"/>
    </row>
    <row r="139" spans="1:9" ht="66.75" customHeight="1">
      <c r="A139" s="235" t="s">
        <v>668</v>
      </c>
      <c r="B139" s="141" t="s">
        <v>670</v>
      </c>
      <c r="C139" s="142">
        <v>200</v>
      </c>
      <c r="D139" s="143"/>
      <c r="E139" s="143"/>
      <c r="F139" s="143">
        <v>1761044.73</v>
      </c>
      <c r="G139" s="426">
        <v>1761044.73</v>
      </c>
      <c r="H139" s="171"/>
      <c r="I139" s="171"/>
    </row>
    <row r="140" spans="1:9" ht="64.5" customHeight="1">
      <c r="A140" s="235" t="s">
        <v>1270</v>
      </c>
      <c r="B140" s="141" t="s">
        <v>670</v>
      </c>
      <c r="C140" s="142">
        <v>400</v>
      </c>
      <c r="D140" s="143"/>
      <c r="E140" s="143">
        <v>1192491</v>
      </c>
      <c r="F140" s="143">
        <v>1192491</v>
      </c>
      <c r="G140" s="426">
        <v>0</v>
      </c>
      <c r="H140" s="171"/>
      <c r="I140" s="171"/>
    </row>
    <row r="141" spans="1:9" ht="63">
      <c r="A141" s="235" t="s">
        <v>655</v>
      </c>
      <c r="B141" s="141" t="s">
        <v>671</v>
      </c>
      <c r="C141" s="142">
        <v>200</v>
      </c>
      <c r="D141" s="143"/>
      <c r="E141" s="143">
        <v>1920892.7</v>
      </c>
      <c r="F141" s="143">
        <v>6274528.32</v>
      </c>
      <c r="G141" s="426">
        <v>4353635.62</v>
      </c>
      <c r="H141" s="465"/>
      <c r="I141" s="171"/>
    </row>
    <row r="142" spans="1:9" ht="66" customHeight="1">
      <c r="A142" s="66" t="s">
        <v>1210</v>
      </c>
      <c r="B142" s="23" t="s">
        <v>671</v>
      </c>
      <c r="C142" s="102">
        <v>400</v>
      </c>
      <c r="D142" s="103"/>
      <c r="E142" s="103"/>
      <c r="F142" s="103"/>
      <c r="G142" s="429"/>
      <c r="H142" s="171"/>
      <c r="I142" s="171"/>
    </row>
    <row r="143" spans="1:9" ht="51.75" customHeight="1">
      <c r="A143" s="66" t="s">
        <v>1215</v>
      </c>
      <c r="B143" s="23" t="s">
        <v>1212</v>
      </c>
      <c r="C143" s="102">
        <v>200</v>
      </c>
      <c r="D143" s="103"/>
      <c r="E143" s="103"/>
      <c r="F143" s="103"/>
      <c r="G143" s="429"/>
      <c r="H143" s="171"/>
      <c r="I143" s="171"/>
    </row>
    <row r="144" spans="1:9" ht="51" customHeight="1">
      <c r="A144" s="66" t="s">
        <v>1216</v>
      </c>
      <c r="B144" s="23" t="s">
        <v>1213</v>
      </c>
      <c r="C144" s="102">
        <v>200</v>
      </c>
      <c r="D144" s="103"/>
      <c r="E144" s="103"/>
      <c r="F144" s="103"/>
      <c r="G144" s="429"/>
      <c r="H144" s="171"/>
      <c r="I144" s="171"/>
    </row>
    <row r="145" spans="1:9" ht="81.75" customHeight="1">
      <c r="A145" s="66" t="s">
        <v>1224</v>
      </c>
      <c r="B145" s="23" t="s">
        <v>1392</v>
      </c>
      <c r="C145" s="102">
        <v>800</v>
      </c>
      <c r="D145" s="103"/>
      <c r="E145" s="103"/>
      <c r="F145" s="103"/>
      <c r="G145" s="429"/>
      <c r="H145" s="171"/>
      <c r="I145" s="171"/>
    </row>
    <row r="146" spans="1:9" ht="95.25" customHeight="1">
      <c r="A146" s="66" t="s">
        <v>759</v>
      </c>
      <c r="B146" s="23" t="s">
        <v>758</v>
      </c>
      <c r="C146" s="102">
        <v>500</v>
      </c>
      <c r="D146" s="103"/>
      <c r="E146" s="103"/>
      <c r="F146" s="143">
        <v>1320000</v>
      </c>
      <c r="G146" s="426">
        <v>1320000</v>
      </c>
      <c r="H146" s="171"/>
      <c r="I146" s="171"/>
    </row>
    <row r="147" spans="1:9" ht="49.5" customHeight="1">
      <c r="A147" s="161" t="s">
        <v>917</v>
      </c>
      <c r="B147" s="21" t="s">
        <v>918</v>
      </c>
      <c r="C147" s="63"/>
      <c r="D147" s="104"/>
      <c r="E147" s="104">
        <f>SUM(E148:E149)</f>
        <v>89000</v>
      </c>
      <c r="F147" s="104">
        <f>SUM(F148:F149)</f>
        <v>1689000</v>
      </c>
      <c r="G147" s="425">
        <f>SUM(G148:G149)</f>
        <v>1600000</v>
      </c>
      <c r="H147" s="171"/>
      <c r="I147" s="171"/>
    </row>
    <row r="148" spans="1:9" ht="47.25">
      <c r="A148" s="66" t="s">
        <v>604</v>
      </c>
      <c r="B148" s="23" t="s">
        <v>919</v>
      </c>
      <c r="C148" s="102">
        <v>200</v>
      </c>
      <c r="D148" s="103"/>
      <c r="E148" s="103"/>
      <c r="F148" s="143">
        <v>115836</v>
      </c>
      <c r="G148" s="426">
        <v>115836</v>
      </c>
      <c r="H148" s="171"/>
      <c r="I148" s="171"/>
    </row>
    <row r="149" spans="1:8" ht="81.75" customHeight="1">
      <c r="A149" s="237" t="s">
        <v>667</v>
      </c>
      <c r="B149" s="141" t="s">
        <v>920</v>
      </c>
      <c r="C149" s="142">
        <v>200</v>
      </c>
      <c r="D149" s="143"/>
      <c r="E149" s="143">
        <v>89000</v>
      </c>
      <c r="F149" s="143">
        <v>1573164</v>
      </c>
      <c r="G149" s="426">
        <v>1484164</v>
      </c>
      <c r="H149" s="193"/>
    </row>
    <row r="150" spans="1:7" ht="31.5">
      <c r="A150" s="161" t="s">
        <v>679</v>
      </c>
      <c r="B150" s="21" t="s">
        <v>418</v>
      </c>
      <c r="C150" s="63"/>
      <c r="D150" s="104" t="e">
        <f>SUM(#REF!)</f>
        <v>#REF!</v>
      </c>
      <c r="E150" s="104">
        <f>E151</f>
        <v>0</v>
      </c>
      <c r="F150" s="104">
        <f>F151</f>
        <v>2394.7</v>
      </c>
      <c r="G150" s="425">
        <f>G151</f>
        <v>2394.7</v>
      </c>
    </row>
    <row r="151" spans="1:7" ht="15.75">
      <c r="A151" s="161" t="s">
        <v>420</v>
      </c>
      <c r="B151" s="21" t="s">
        <v>419</v>
      </c>
      <c r="C151" s="63"/>
      <c r="D151" s="104"/>
      <c r="E151" s="104">
        <f>SUM(E152:E152)</f>
        <v>0</v>
      </c>
      <c r="F151" s="104">
        <f>SUM(F152:F152)</f>
        <v>2394.7</v>
      </c>
      <c r="G151" s="425">
        <f>SUM(G152:G152)</f>
        <v>2394.7</v>
      </c>
    </row>
    <row r="152" spans="1:7" ht="47.25">
      <c r="A152" s="66" t="s">
        <v>1006</v>
      </c>
      <c r="B152" s="23" t="s">
        <v>1011</v>
      </c>
      <c r="C152" s="102">
        <v>300</v>
      </c>
      <c r="D152" s="103"/>
      <c r="E152" s="103"/>
      <c r="F152" s="143">
        <v>2394.7</v>
      </c>
      <c r="G152" s="426">
        <v>2394.7</v>
      </c>
    </row>
    <row r="153" spans="1:7" ht="31.5">
      <c r="A153" s="161" t="s">
        <v>934</v>
      </c>
      <c r="B153" s="21" t="s">
        <v>651</v>
      </c>
      <c r="C153" s="63"/>
      <c r="D153" s="104">
        <f>SUM(D155:D156)</f>
        <v>223500</v>
      </c>
      <c r="E153" s="104">
        <f>E154</f>
        <v>397251.33</v>
      </c>
      <c r="F153" s="104">
        <f>F154</f>
        <v>3375354.95</v>
      </c>
      <c r="G153" s="425">
        <f>G154</f>
        <v>2978103.62</v>
      </c>
    </row>
    <row r="154" spans="1:7" ht="32.25" customHeight="1">
      <c r="A154" s="161" t="s">
        <v>678</v>
      </c>
      <c r="B154" s="21" t="s">
        <v>652</v>
      </c>
      <c r="C154" s="63"/>
      <c r="D154" s="104"/>
      <c r="E154" s="104">
        <f>SUM(E155:E157)</f>
        <v>397251.33</v>
      </c>
      <c r="F154" s="104">
        <f>SUM(F155:F157)</f>
        <v>3375354.95</v>
      </c>
      <c r="G154" s="425">
        <f>SUM(G155:G157)</f>
        <v>2978103.62</v>
      </c>
    </row>
    <row r="155" spans="1:7" ht="47.25">
      <c r="A155" s="65" t="s">
        <v>1069</v>
      </c>
      <c r="B155" s="22" t="s">
        <v>672</v>
      </c>
      <c r="C155" s="64">
        <v>200</v>
      </c>
      <c r="D155" s="98">
        <v>223500</v>
      </c>
      <c r="E155" s="98"/>
      <c r="F155" s="143">
        <v>1546853.1</v>
      </c>
      <c r="G155" s="426">
        <v>1546853.1</v>
      </c>
    </row>
    <row r="156" spans="1:8" ht="47.25">
      <c r="A156" s="65" t="s">
        <v>648</v>
      </c>
      <c r="B156" s="22" t="s">
        <v>673</v>
      </c>
      <c r="C156" s="64">
        <v>200</v>
      </c>
      <c r="D156" s="98"/>
      <c r="E156" s="98">
        <v>397251.33</v>
      </c>
      <c r="F156" s="143">
        <v>1632824.9300000002</v>
      </c>
      <c r="G156" s="426">
        <v>1235573.6</v>
      </c>
      <c r="H156" s="193"/>
    </row>
    <row r="157" spans="1:7" ht="63">
      <c r="A157" s="166" t="s">
        <v>1074</v>
      </c>
      <c r="B157" s="141" t="s">
        <v>1143</v>
      </c>
      <c r="C157" s="142">
        <v>800</v>
      </c>
      <c r="D157" s="98"/>
      <c r="E157" s="98"/>
      <c r="F157" s="143">
        <v>195676.92</v>
      </c>
      <c r="G157" s="426">
        <v>195676.92</v>
      </c>
    </row>
    <row r="158" spans="1:7" ht="49.5" customHeight="1">
      <c r="A158" s="161" t="s">
        <v>669</v>
      </c>
      <c r="B158" s="21" t="s">
        <v>653</v>
      </c>
      <c r="C158" s="63"/>
      <c r="D158" s="104">
        <f>SUM(D170:D171)</f>
        <v>0</v>
      </c>
      <c r="E158" s="104">
        <f>E159</f>
        <v>0</v>
      </c>
      <c r="F158" s="104">
        <f>F159</f>
        <v>950649.9</v>
      </c>
      <c r="G158" s="425">
        <f>G159</f>
        <v>950649.9</v>
      </c>
    </row>
    <row r="159" spans="1:7" ht="31.5">
      <c r="A159" s="161" t="s">
        <v>658</v>
      </c>
      <c r="B159" s="21" t="s">
        <v>654</v>
      </c>
      <c r="C159" s="63"/>
      <c r="D159" s="104"/>
      <c r="E159" s="104">
        <f>SUM(E160:E162)</f>
        <v>0</v>
      </c>
      <c r="F159" s="129">
        <f>SUM(F160:F162)</f>
        <v>950649.9</v>
      </c>
      <c r="G159" s="427">
        <f>SUM(G160:G162)</f>
        <v>950649.9</v>
      </c>
    </row>
    <row r="160" spans="1:7" s="194" customFormat="1" ht="78.75">
      <c r="A160" s="66" t="s">
        <v>745</v>
      </c>
      <c r="B160" s="141" t="s">
        <v>744</v>
      </c>
      <c r="C160" s="142">
        <v>500</v>
      </c>
      <c r="D160" s="143"/>
      <c r="E160" s="143"/>
      <c r="F160" s="143">
        <f>545675.05+154.85</f>
        <v>545829.9</v>
      </c>
      <c r="G160" s="426">
        <f>545675.05+154.85</f>
        <v>545829.9</v>
      </c>
    </row>
    <row r="161" spans="1:7" s="194" customFormat="1" ht="52.5" customHeight="1">
      <c r="A161" s="66" t="s">
        <v>1217</v>
      </c>
      <c r="B161" s="141" t="s">
        <v>1214</v>
      </c>
      <c r="C161" s="142">
        <v>200</v>
      </c>
      <c r="D161" s="143"/>
      <c r="E161" s="143"/>
      <c r="F161" s="143"/>
      <c r="G161" s="426"/>
    </row>
    <row r="162" spans="1:7" s="194" customFormat="1" ht="63">
      <c r="A162" s="166" t="s">
        <v>921</v>
      </c>
      <c r="B162" s="141" t="s">
        <v>675</v>
      </c>
      <c r="C162" s="142">
        <v>200</v>
      </c>
      <c r="D162" s="143"/>
      <c r="E162" s="143"/>
      <c r="F162" s="143">
        <v>404820</v>
      </c>
      <c r="G162" s="426">
        <v>404820</v>
      </c>
    </row>
    <row r="163" spans="1:7" s="194" customFormat="1" ht="31.5" customHeight="1">
      <c r="A163" s="161" t="s">
        <v>975</v>
      </c>
      <c r="B163" s="21" t="s">
        <v>935</v>
      </c>
      <c r="C163" s="128"/>
      <c r="D163" s="129"/>
      <c r="E163" s="129">
        <f>E164</f>
        <v>0</v>
      </c>
      <c r="F163" s="129">
        <f>F164</f>
        <v>0</v>
      </c>
      <c r="G163" s="427">
        <f>G164</f>
        <v>0</v>
      </c>
    </row>
    <row r="164" spans="1:7" s="194" customFormat="1" ht="35.25" customHeight="1">
      <c r="A164" s="161" t="s">
        <v>976</v>
      </c>
      <c r="B164" s="21" t="s">
        <v>936</v>
      </c>
      <c r="C164" s="128"/>
      <c r="D164" s="129"/>
      <c r="E164" s="129">
        <f>E165+E166</f>
        <v>0</v>
      </c>
      <c r="F164" s="129">
        <f>F165+F166</f>
        <v>0</v>
      </c>
      <c r="G164" s="427">
        <f>G165+G166</f>
        <v>0</v>
      </c>
    </row>
    <row r="165" spans="1:7" s="194" customFormat="1" ht="47.25">
      <c r="A165" s="166" t="s">
        <v>977</v>
      </c>
      <c r="B165" s="141" t="s">
        <v>978</v>
      </c>
      <c r="C165" s="142">
        <v>200</v>
      </c>
      <c r="D165" s="143"/>
      <c r="E165" s="143"/>
      <c r="F165" s="143"/>
      <c r="G165" s="426"/>
    </row>
    <row r="166" spans="1:7" s="194" customFormat="1" ht="47.25">
      <c r="A166" s="166" t="s">
        <v>1019</v>
      </c>
      <c r="B166" s="141" t="s">
        <v>1054</v>
      </c>
      <c r="C166" s="142">
        <v>200</v>
      </c>
      <c r="D166" s="143"/>
      <c r="E166" s="143"/>
      <c r="F166" s="143"/>
      <c r="G166" s="426"/>
    </row>
    <row r="167" spans="1:7" s="194" customFormat="1" ht="49.5" customHeight="1">
      <c r="A167" s="161" t="s">
        <v>1115</v>
      </c>
      <c r="B167" s="21" t="s">
        <v>1116</v>
      </c>
      <c r="C167" s="128"/>
      <c r="D167" s="143"/>
      <c r="E167" s="129">
        <f aca="true" t="shared" si="3" ref="E167:G168">E168</f>
        <v>0</v>
      </c>
      <c r="F167" s="129">
        <f t="shared" si="3"/>
        <v>4293828</v>
      </c>
      <c r="G167" s="427">
        <f t="shared" si="3"/>
        <v>4293828</v>
      </c>
    </row>
    <row r="168" spans="1:7" s="194" customFormat="1" ht="50.25" customHeight="1">
      <c r="A168" s="161" t="s">
        <v>1117</v>
      </c>
      <c r="B168" s="21" t="s">
        <v>1118</v>
      </c>
      <c r="C168" s="128"/>
      <c r="D168" s="143"/>
      <c r="E168" s="129">
        <f t="shared" si="3"/>
        <v>0</v>
      </c>
      <c r="F168" s="129">
        <f t="shared" si="3"/>
        <v>4293828</v>
      </c>
      <c r="G168" s="427">
        <f t="shared" si="3"/>
        <v>4293828</v>
      </c>
    </row>
    <row r="169" spans="1:7" s="194" customFormat="1" ht="77.25" customHeight="1">
      <c r="A169" s="166" t="s">
        <v>1070</v>
      </c>
      <c r="B169" s="141" t="s">
        <v>1241</v>
      </c>
      <c r="C169" s="142">
        <v>400</v>
      </c>
      <c r="D169" s="143"/>
      <c r="E169" s="143"/>
      <c r="F169" s="143">
        <v>4293828</v>
      </c>
      <c r="G169" s="426">
        <v>4293828</v>
      </c>
    </row>
    <row r="170" spans="1:7" ht="31.5">
      <c r="A170" s="160" t="s">
        <v>663</v>
      </c>
      <c r="B170" s="24" t="s">
        <v>421</v>
      </c>
      <c r="C170" s="230"/>
      <c r="D170" s="165">
        <f>D171+D174</f>
        <v>0</v>
      </c>
      <c r="E170" s="165">
        <f>E171+E174</f>
        <v>79900</v>
      </c>
      <c r="F170" s="165">
        <f>F171+F174</f>
        <v>1148421</v>
      </c>
      <c r="G170" s="424">
        <f>G171+G174</f>
        <v>1068521</v>
      </c>
    </row>
    <row r="171" spans="1:7" ht="31.5">
      <c r="A171" s="161" t="s">
        <v>680</v>
      </c>
      <c r="B171" s="21" t="s">
        <v>422</v>
      </c>
      <c r="C171" s="63"/>
      <c r="D171" s="104">
        <f>D173</f>
        <v>0</v>
      </c>
      <c r="E171" s="104">
        <f aca="true" t="shared" si="4" ref="E171:G172">E172</f>
        <v>0</v>
      </c>
      <c r="F171" s="104">
        <f t="shared" si="4"/>
        <v>400000</v>
      </c>
      <c r="G171" s="425">
        <f t="shared" si="4"/>
        <v>400000</v>
      </c>
    </row>
    <row r="172" spans="1:7" ht="31.5">
      <c r="A172" s="161" t="s">
        <v>427</v>
      </c>
      <c r="B172" s="21" t="s">
        <v>423</v>
      </c>
      <c r="C172" s="63"/>
      <c r="D172" s="104"/>
      <c r="E172" s="104">
        <f t="shared" si="4"/>
        <v>0</v>
      </c>
      <c r="F172" s="104">
        <f t="shared" si="4"/>
        <v>400000</v>
      </c>
      <c r="G172" s="425">
        <f t="shared" si="4"/>
        <v>400000</v>
      </c>
    </row>
    <row r="173" spans="1:7" ht="63">
      <c r="A173" s="65" t="s">
        <v>676</v>
      </c>
      <c r="B173" s="22" t="s">
        <v>424</v>
      </c>
      <c r="C173" s="64">
        <v>200</v>
      </c>
      <c r="D173" s="98"/>
      <c r="E173" s="98"/>
      <c r="F173" s="143">
        <v>400000</v>
      </c>
      <c r="G173" s="426">
        <v>400000</v>
      </c>
    </row>
    <row r="174" spans="1:7" ht="31.5">
      <c r="A174" s="161" t="s">
        <v>681</v>
      </c>
      <c r="B174" s="21" t="s">
        <v>425</v>
      </c>
      <c r="C174" s="63"/>
      <c r="D174" s="104">
        <f>D176</f>
        <v>0</v>
      </c>
      <c r="E174" s="104">
        <f>E175</f>
        <v>79900</v>
      </c>
      <c r="F174" s="104">
        <f>F175</f>
        <v>748421</v>
      </c>
      <c r="G174" s="425">
        <f>G175</f>
        <v>668521</v>
      </c>
    </row>
    <row r="175" spans="1:7" ht="31.5">
      <c r="A175" s="161" t="s">
        <v>923</v>
      </c>
      <c r="B175" s="21" t="s">
        <v>426</v>
      </c>
      <c r="C175" s="63"/>
      <c r="D175" s="104"/>
      <c r="E175" s="104">
        <f>E176+E177</f>
        <v>79900</v>
      </c>
      <c r="F175" s="104">
        <f>F176+F177</f>
        <v>748421</v>
      </c>
      <c r="G175" s="425">
        <f>G176+G177</f>
        <v>668521</v>
      </c>
    </row>
    <row r="176" spans="1:8" ht="64.5" customHeight="1">
      <c r="A176" s="65" t="s">
        <v>924</v>
      </c>
      <c r="B176" s="22" t="s">
        <v>428</v>
      </c>
      <c r="C176" s="64">
        <v>200</v>
      </c>
      <c r="D176" s="98"/>
      <c r="E176" s="98">
        <v>79900</v>
      </c>
      <c r="F176" s="143">
        <v>247020</v>
      </c>
      <c r="G176" s="426">
        <v>167120</v>
      </c>
      <c r="H176" s="193"/>
    </row>
    <row r="177" spans="1:7" ht="47.25">
      <c r="A177" s="65" t="s">
        <v>925</v>
      </c>
      <c r="B177" s="22" t="s">
        <v>927</v>
      </c>
      <c r="C177" s="64">
        <v>200</v>
      </c>
      <c r="D177" s="98"/>
      <c r="E177" s="98"/>
      <c r="F177" s="143">
        <v>501401</v>
      </c>
      <c r="G177" s="426">
        <v>501401</v>
      </c>
    </row>
    <row r="178" spans="1:7" ht="31.5">
      <c r="A178" s="160" t="s">
        <v>664</v>
      </c>
      <c r="B178" s="24" t="s">
        <v>429</v>
      </c>
      <c r="C178" s="230"/>
      <c r="D178" s="165" t="e">
        <f>D179+D194+D221</f>
        <v>#REF!</v>
      </c>
      <c r="E178" s="165">
        <f>E179+E194+E221</f>
        <v>4420697.899999999</v>
      </c>
      <c r="F178" s="165">
        <f>F179+F194+F221</f>
        <v>218789564.36</v>
      </c>
      <c r="G178" s="424">
        <f>G179+G194+G221</f>
        <v>214368866.45999998</v>
      </c>
    </row>
    <row r="179" spans="1:7" ht="31.5">
      <c r="A179" s="161" t="s">
        <v>430</v>
      </c>
      <c r="B179" s="21" t="s">
        <v>431</v>
      </c>
      <c r="C179" s="63"/>
      <c r="D179" s="104">
        <f>SUM(D181:D193)</f>
        <v>5093368</v>
      </c>
      <c r="E179" s="104">
        <f>E180</f>
        <v>450579</v>
      </c>
      <c r="F179" s="104">
        <f>F180</f>
        <v>84444290.08</v>
      </c>
      <c r="G179" s="425">
        <f>G180</f>
        <v>83993711.08</v>
      </c>
    </row>
    <row r="180" spans="1:7" ht="31.5" customHeight="1">
      <c r="A180" s="161" t="s">
        <v>937</v>
      </c>
      <c r="B180" s="21" t="s">
        <v>432</v>
      </c>
      <c r="C180" s="63"/>
      <c r="D180" s="104"/>
      <c r="E180" s="104">
        <f>SUM(E181:E193)</f>
        <v>450579</v>
      </c>
      <c r="F180" s="104">
        <f>SUM(F181:F193)</f>
        <v>84444290.08</v>
      </c>
      <c r="G180" s="425">
        <f>SUM(G181:G193)</f>
        <v>83993711.08</v>
      </c>
    </row>
    <row r="181" spans="1:7" ht="61.5" customHeight="1">
      <c r="A181" s="65" t="s">
        <v>433</v>
      </c>
      <c r="B181" s="22" t="s">
        <v>434</v>
      </c>
      <c r="C181" s="64">
        <v>600</v>
      </c>
      <c r="D181" s="98">
        <v>500000</v>
      </c>
      <c r="E181" s="98"/>
      <c r="F181" s="98">
        <v>3747158.63</v>
      </c>
      <c r="G181" s="428">
        <v>3747158.63</v>
      </c>
    </row>
    <row r="182" spans="1:7" ht="97.5" customHeight="1">
      <c r="A182" s="65" t="s">
        <v>702</v>
      </c>
      <c r="B182" s="22" t="s">
        <v>710</v>
      </c>
      <c r="C182" s="64">
        <v>600</v>
      </c>
      <c r="D182" s="98"/>
      <c r="E182" s="143"/>
      <c r="F182" s="98">
        <v>16080915.61</v>
      </c>
      <c r="G182" s="428">
        <v>16080915.61</v>
      </c>
    </row>
    <row r="183" spans="1:7" ht="67.5" customHeight="1">
      <c r="A183" s="65" t="s">
        <v>1161</v>
      </c>
      <c r="B183" s="22" t="s">
        <v>1156</v>
      </c>
      <c r="C183" s="64">
        <v>600</v>
      </c>
      <c r="D183" s="98"/>
      <c r="E183" s="98"/>
      <c r="F183" s="143">
        <v>541760.24</v>
      </c>
      <c r="G183" s="426">
        <v>541760.24</v>
      </c>
    </row>
    <row r="184" spans="1:7" ht="81.75" customHeight="1">
      <c r="A184" s="65" t="s">
        <v>1385</v>
      </c>
      <c r="B184" s="22" t="s">
        <v>711</v>
      </c>
      <c r="C184" s="64">
        <v>600</v>
      </c>
      <c r="D184" s="98"/>
      <c r="E184" s="98"/>
      <c r="F184" s="98">
        <v>6900121.97</v>
      </c>
      <c r="G184" s="428">
        <v>6900121.97</v>
      </c>
    </row>
    <row r="185" spans="1:7" ht="82.5" customHeight="1">
      <c r="A185" s="65" t="s">
        <v>704</v>
      </c>
      <c r="B185" s="22" t="s">
        <v>713</v>
      </c>
      <c r="C185" s="64">
        <v>600</v>
      </c>
      <c r="D185" s="98"/>
      <c r="E185" s="98"/>
      <c r="F185" s="98">
        <v>6330351.98</v>
      </c>
      <c r="G185" s="428">
        <v>6330351.98</v>
      </c>
    </row>
    <row r="186" spans="1:7" ht="63">
      <c r="A186" s="65" t="s">
        <v>435</v>
      </c>
      <c r="B186" s="22" t="s">
        <v>436</v>
      </c>
      <c r="C186" s="64">
        <v>600</v>
      </c>
      <c r="D186" s="98"/>
      <c r="E186" s="98"/>
      <c r="F186" s="98">
        <v>6856977.95</v>
      </c>
      <c r="G186" s="428">
        <v>6856977.95</v>
      </c>
    </row>
    <row r="187" spans="1:7" ht="66" customHeight="1">
      <c r="A187" s="65" t="s">
        <v>1162</v>
      </c>
      <c r="B187" s="22" t="s">
        <v>1157</v>
      </c>
      <c r="C187" s="64">
        <v>600</v>
      </c>
      <c r="D187" s="98"/>
      <c r="E187" s="98"/>
      <c r="F187" s="143">
        <v>257000</v>
      </c>
      <c r="G187" s="426">
        <v>257000</v>
      </c>
    </row>
    <row r="188" spans="1:7" ht="83.25" customHeight="1">
      <c r="A188" s="65" t="s">
        <v>1203</v>
      </c>
      <c r="B188" s="22" t="s">
        <v>1182</v>
      </c>
      <c r="C188" s="64">
        <v>600</v>
      </c>
      <c r="D188" s="98"/>
      <c r="E188" s="98"/>
      <c r="F188" s="143"/>
      <c r="G188" s="426"/>
    </row>
    <row r="189" spans="1:7" ht="48.75" customHeight="1">
      <c r="A189" s="65" t="s">
        <v>1204</v>
      </c>
      <c r="B189" s="22" t="s">
        <v>1185</v>
      </c>
      <c r="C189" s="64">
        <v>600</v>
      </c>
      <c r="D189" s="98"/>
      <c r="E189" s="98"/>
      <c r="F189" s="143"/>
      <c r="G189" s="426"/>
    </row>
    <row r="190" spans="1:7" ht="78.75">
      <c r="A190" s="65" t="s">
        <v>1042</v>
      </c>
      <c r="B190" s="22" t="s">
        <v>1041</v>
      </c>
      <c r="C190" s="64">
        <v>600</v>
      </c>
      <c r="D190" s="98"/>
      <c r="E190" s="98"/>
      <c r="F190" s="143"/>
      <c r="G190" s="426"/>
    </row>
    <row r="191" spans="1:7" ht="126.75" customHeight="1">
      <c r="A191" s="238" t="s">
        <v>730</v>
      </c>
      <c r="B191" s="22" t="s">
        <v>438</v>
      </c>
      <c r="C191" s="64">
        <v>600</v>
      </c>
      <c r="D191" s="98">
        <v>-875880</v>
      </c>
      <c r="E191" s="98"/>
      <c r="F191" s="143">
        <v>298092</v>
      </c>
      <c r="G191" s="426">
        <v>298092</v>
      </c>
    </row>
    <row r="192" spans="1:7" ht="93" customHeight="1">
      <c r="A192" s="286" t="s">
        <v>729</v>
      </c>
      <c r="B192" s="22" t="s">
        <v>1360</v>
      </c>
      <c r="C192" s="64">
        <v>300</v>
      </c>
      <c r="D192" s="98"/>
      <c r="E192" s="98"/>
      <c r="F192" s="143">
        <v>1130892.7</v>
      </c>
      <c r="G192" s="426">
        <v>1130892.7</v>
      </c>
    </row>
    <row r="193" spans="1:8" ht="127.5" customHeight="1">
      <c r="A193" s="71" t="s">
        <v>1394</v>
      </c>
      <c r="B193" s="22" t="s">
        <v>439</v>
      </c>
      <c r="C193" s="64">
        <v>600</v>
      </c>
      <c r="D193" s="98">
        <v>5469248</v>
      </c>
      <c r="E193" s="98">
        <v>450579</v>
      </c>
      <c r="F193" s="98">
        <v>42301019</v>
      </c>
      <c r="G193" s="428">
        <v>41850440</v>
      </c>
      <c r="H193" s="193"/>
    </row>
    <row r="194" spans="1:7" ht="31.5">
      <c r="A194" s="136" t="s">
        <v>440</v>
      </c>
      <c r="B194" s="21" t="s">
        <v>441</v>
      </c>
      <c r="C194" s="63"/>
      <c r="D194" s="104">
        <f>SUM(D196:D218)</f>
        <v>987111</v>
      </c>
      <c r="E194" s="104">
        <f>E195+E219</f>
        <v>3970118.8999999994</v>
      </c>
      <c r="F194" s="104">
        <f>F195+F219</f>
        <v>128280382.96000001</v>
      </c>
      <c r="G194" s="425">
        <f>G195+G219</f>
        <v>124310264.06</v>
      </c>
    </row>
    <row r="195" spans="1:7" ht="50.25" customHeight="1">
      <c r="A195" s="240" t="s">
        <v>955</v>
      </c>
      <c r="B195" s="21" t="s">
        <v>442</v>
      </c>
      <c r="C195" s="63"/>
      <c r="D195" s="104"/>
      <c r="E195" s="104">
        <f>SUM(E196:E218)</f>
        <v>3970118.8999999994</v>
      </c>
      <c r="F195" s="129">
        <f>SUM(F196:F218)</f>
        <v>128128668.96000001</v>
      </c>
      <c r="G195" s="427">
        <f>SUM(G196:G218)</f>
        <v>124158550.06</v>
      </c>
    </row>
    <row r="196" spans="1:7" ht="63">
      <c r="A196" s="71" t="s">
        <v>443</v>
      </c>
      <c r="B196" s="22" t="s">
        <v>444</v>
      </c>
      <c r="C196" s="64">
        <v>600</v>
      </c>
      <c r="D196" s="98"/>
      <c r="E196" s="98"/>
      <c r="F196" s="98">
        <v>6204730.76</v>
      </c>
      <c r="G196" s="428">
        <v>6204730.76</v>
      </c>
    </row>
    <row r="197" spans="1:7" ht="96.75" customHeight="1">
      <c r="A197" s="71" t="s">
        <v>706</v>
      </c>
      <c r="B197" s="22" t="s">
        <v>714</v>
      </c>
      <c r="C197" s="64">
        <v>600</v>
      </c>
      <c r="D197" s="98"/>
      <c r="E197" s="98"/>
      <c r="F197" s="98">
        <v>8414240.49</v>
      </c>
      <c r="G197" s="428">
        <v>8414240.49</v>
      </c>
    </row>
    <row r="198" spans="1:7" ht="78.75">
      <c r="A198" s="71" t="s">
        <v>707</v>
      </c>
      <c r="B198" s="22" t="s">
        <v>715</v>
      </c>
      <c r="C198" s="64">
        <v>600</v>
      </c>
      <c r="D198" s="98"/>
      <c r="E198" s="98"/>
      <c r="F198" s="98">
        <v>7229704.11</v>
      </c>
      <c r="G198" s="428">
        <v>7229704.11</v>
      </c>
    </row>
    <row r="199" spans="1:7" ht="78.75">
      <c r="A199" s="71" t="s">
        <v>709</v>
      </c>
      <c r="B199" s="22" t="s">
        <v>717</v>
      </c>
      <c r="C199" s="64">
        <v>600</v>
      </c>
      <c r="D199" s="98"/>
      <c r="E199" s="98"/>
      <c r="F199" s="98">
        <v>6974286.92</v>
      </c>
      <c r="G199" s="428">
        <v>6974286.92</v>
      </c>
    </row>
    <row r="200" spans="1:7" ht="66" customHeight="1">
      <c r="A200" s="71" t="s">
        <v>1163</v>
      </c>
      <c r="B200" s="22" t="s">
        <v>1158</v>
      </c>
      <c r="C200" s="64">
        <v>600</v>
      </c>
      <c r="D200" s="98"/>
      <c r="E200" s="98"/>
      <c r="F200" s="143">
        <v>780353.93</v>
      </c>
      <c r="G200" s="426">
        <v>780353.93</v>
      </c>
    </row>
    <row r="201" spans="1:7" ht="65.25" customHeight="1">
      <c r="A201" s="71" t="s">
        <v>1164</v>
      </c>
      <c r="B201" s="22" t="s">
        <v>1159</v>
      </c>
      <c r="C201" s="64">
        <v>600</v>
      </c>
      <c r="D201" s="98"/>
      <c r="E201" s="98"/>
      <c r="F201" s="143">
        <v>100000</v>
      </c>
      <c r="G201" s="426">
        <v>100000</v>
      </c>
    </row>
    <row r="202" spans="1:7" ht="99.75" customHeight="1">
      <c r="A202" s="71" t="s">
        <v>1165</v>
      </c>
      <c r="B202" s="22" t="s">
        <v>1160</v>
      </c>
      <c r="C202" s="64">
        <v>600</v>
      </c>
      <c r="D202" s="98"/>
      <c r="E202" s="98"/>
      <c r="F202" s="143">
        <v>57807</v>
      </c>
      <c r="G202" s="426">
        <v>57807</v>
      </c>
    </row>
    <row r="203" spans="1:7" ht="48.75" customHeight="1">
      <c r="A203" s="71" t="s">
        <v>1205</v>
      </c>
      <c r="B203" s="22" t="s">
        <v>1186</v>
      </c>
      <c r="C203" s="64">
        <v>600</v>
      </c>
      <c r="D203" s="98"/>
      <c r="E203" s="98"/>
      <c r="F203" s="143"/>
      <c r="G203" s="426"/>
    </row>
    <row r="204" spans="1:8" ht="63">
      <c r="A204" s="162" t="s">
        <v>573</v>
      </c>
      <c r="B204" s="22" t="s">
        <v>574</v>
      </c>
      <c r="C204" s="64">
        <v>600</v>
      </c>
      <c r="D204" s="98"/>
      <c r="E204" s="98">
        <v>-9657.74</v>
      </c>
      <c r="F204" s="98">
        <v>1734542.26</v>
      </c>
      <c r="G204" s="428">
        <v>1744200</v>
      </c>
      <c r="H204" s="193"/>
    </row>
    <row r="205" spans="1:8" s="504" customFormat="1" ht="66.75" customHeight="1">
      <c r="A205" s="71" t="s">
        <v>1501</v>
      </c>
      <c r="B205" s="22" t="s">
        <v>1486</v>
      </c>
      <c r="C205" s="64">
        <v>600</v>
      </c>
      <c r="D205" s="98"/>
      <c r="E205" s="98">
        <f>9657.74+956116</f>
        <v>965773.74</v>
      </c>
      <c r="F205" s="98">
        <v>965773.74</v>
      </c>
      <c r="G205" s="505"/>
      <c r="H205" s="506"/>
    </row>
    <row r="206" spans="1:7" ht="78.75" hidden="1">
      <c r="A206" s="239" t="s">
        <v>1001</v>
      </c>
      <c r="B206" s="22" t="s">
        <v>999</v>
      </c>
      <c r="C206" s="64">
        <v>600</v>
      </c>
      <c r="D206" s="98"/>
      <c r="E206" s="173"/>
      <c r="F206" s="143"/>
      <c r="G206" s="426"/>
    </row>
    <row r="207" spans="1:8" ht="78.75" hidden="1">
      <c r="A207" s="71" t="s">
        <v>445</v>
      </c>
      <c r="B207" s="22" t="s">
        <v>446</v>
      </c>
      <c r="C207" s="64">
        <v>100</v>
      </c>
      <c r="D207" s="98"/>
      <c r="E207" s="98">
        <v>19920</v>
      </c>
      <c r="F207" s="98">
        <v>7629675.6</v>
      </c>
      <c r="G207" s="428">
        <v>7609755.6</v>
      </c>
      <c r="H207" s="193"/>
    </row>
    <row r="208" spans="1:7" ht="47.25" hidden="1">
      <c r="A208" s="71" t="s">
        <v>605</v>
      </c>
      <c r="B208" s="22" t="s">
        <v>446</v>
      </c>
      <c r="C208" s="64">
        <v>200</v>
      </c>
      <c r="D208" s="98">
        <v>-745000</v>
      </c>
      <c r="E208" s="98"/>
      <c r="F208" s="98">
        <v>9971008.73</v>
      </c>
      <c r="G208" s="428">
        <v>9971008.73</v>
      </c>
    </row>
    <row r="209" spans="1:7" ht="36" customHeight="1" hidden="1">
      <c r="A209" s="71" t="s">
        <v>447</v>
      </c>
      <c r="B209" s="22" t="s">
        <v>446</v>
      </c>
      <c r="C209" s="64">
        <v>800</v>
      </c>
      <c r="D209" s="98"/>
      <c r="E209" s="98"/>
      <c r="F209" s="98">
        <v>202935.92</v>
      </c>
      <c r="G209" s="428">
        <v>202935.92</v>
      </c>
    </row>
    <row r="210" spans="1:7" s="504" customFormat="1" ht="54.75" customHeight="1">
      <c r="A210" s="71" t="s">
        <v>1502</v>
      </c>
      <c r="B210" s="22" t="s">
        <v>1486</v>
      </c>
      <c r="C210" s="64">
        <v>200</v>
      </c>
      <c r="D210" s="98"/>
      <c r="E210" s="98">
        <f>1931.56+191224.7</f>
        <v>193156.26</v>
      </c>
      <c r="F210" s="98">
        <v>193156.26</v>
      </c>
      <c r="G210" s="505"/>
    </row>
    <row r="211" spans="1:8" ht="66" customHeight="1">
      <c r="A211" s="162" t="s">
        <v>606</v>
      </c>
      <c r="B211" s="22" t="s">
        <v>575</v>
      </c>
      <c r="C211" s="64">
        <v>200</v>
      </c>
      <c r="D211" s="98"/>
      <c r="E211" s="98">
        <v>-1931.56</v>
      </c>
      <c r="F211" s="98">
        <v>321068.44</v>
      </c>
      <c r="G211" s="428">
        <v>323000</v>
      </c>
      <c r="H211" s="193"/>
    </row>
    <row r="212" spans="1:7" ht="68.25" customHeight="1">
      <c r="A212" s="71" t="s">
        <v>607</v>
      </c>
      <c r="B212" s="22" t="s">
        <v>448</v>
      </c>
      <c r="C212" s="64">
        <v>200</v>
      </c>
      <c r="D212" s="98">
        <v>745000</v>
      </c>
      <c r="E212" s="98"/>
      <c r="F212" s="98">
        <v>1400000</v>
      </c>
      <c r="G212" s="428">
        <v>1400000</v>
      </c>
    </row>
    <row r="213" spans="1:7" ht="95.25" customHeight="1">
      <c r="A213" s="71" t="s">
        <v>1485</v>
      </c>
      <c r="B213" s="22" t="s">
        <v>1484</v>
      </c>
      <c r="C213" s="64">
        <v>600</v>
      </c>
      <c r="D213" s="98"/>
      <c r="E213" s="98">
        <f>22566.84+2234117.36</f>
        <v>2256684.1999999997</v>
      </c>
      <c r="F213" s="98">
        <v>2256684.1999999997</v>
      </c>
      <c r="G213" s="428"/>
    </row>
    <row r="214" spans="1:7" ht="96" customHeight="1">
      <c r="A214" s="65" t="s">
        <v>731</v>
      </c>
      <c r="B214" s="22" t="s">
        <v>449</v>
      </c>
      <c r="C214" s="64">
        <v>200</v>
      </c>
      <c r="D214" s="98">
        <v>-370500</v>
      </c>
      <c r="E214" s="98"/>
      <c r="F214" s="98">
        <v>36345</v>
      </c>
      <c r="G214" s="428">
        <v>36345</v>
      </c>
    </row>
    <row r="215" spans="1:7" ht="94.5">
      <c r="A215" s="65" t="s">
        <v>729</v>
      </c>
      <c r="B215" s="22" t="s">
        <v>618</v>
      </c>
      <c r="C215" s="64">
        <v>300</v>
      </c>
      <c r="D215" s="98"/>
      <c r="E215" s="98"/>
      <c r="F215" s="98">
        <v>86620.1</v>
      </c>
      <c r="G215" s="428">
        <v>86620.1</v>
      </c>
    </row>
    <row r="216" spans="1:8" ht="208.5" customHeight="1">
      <c r="A216" s="71" t="s">
        <v>732</v>
      </c>
      <c r="B216" s="22" t="s">
        <v>450</v>
      </c>
      <c r="C216" s="64">
        <v>100</v>
      </c>
      <c r="D216" s="98"/>
      <c r="E216" s="98">
        <v>123181.25</v>
      </c>
      <c r="F216" s="98">
        <v>14601095.5</v>
      </c>
      <c r="G216" s="428">
        <v>14477914.25</v>
      </c>
      <c r="H216" s="193"/>
    </row>
    <row r="217" spans="1:8" ht="159.75" customHeight="1">
      <c r="A217" s="71" t="s">
        <v>733</v>
      </c>
      <c r="B217" s="22" t="s">
        <v>450</v>
      </c>
      <c r="C217" s="64">
        <v>200</v>
      </c>
      <c r="D217" s="98"/>
      <c r="E217" s="98">
        <v>100</v>
      </c>
      <c r="F217" s="98">
        <v>209937</v>
      </c>
      <c r="G217" s="428">
        <v>209837</v>
      </c>
      <c r="H217" s="193"/>
    </row>
    <row r="218" spans="1:8" ht="176.25" customHeight="1">
      <c r="A218" s="71" t="s">
        <v>734</v>
      </c>
      <c r="B218" s="22" t="s">
        <v>450</v>
      </c>
      <c r="C218" s="64">
        <v>600</v>
      </c>
      <c r="D218" s="98">
        <v>1357611</v>
      </c>
      <c r="E218" s="98">
        <v>422892.75</v>
      </c>
      <c r="F218" s="98">
        <v>58758703</v>
      </c>
      <c r="G218" s="428">
        <v>58335810.25</v>
      </c>
      <c r="H218" s="193"/>
    </row>
    <row r="219" spans="1:7" ht="52.5" customHeight="1">
      <c r="A219" s="240" t="s">
        <v>956</v>
      </c>
      <c r="B219" s="127" t="s">
        <v>869</v>
      </c>
      <c r="C219" s="128"/>
      <c r="D219" s="129"/>
      <c r="E219" s="129">
        <f>E220</f>
        <v>0</v>
      </c>
      <c r="F219" s="129">
        <f>F220</f>
        <v>151714</v>
      </c>
      <c r="G219" s="427">
        <f>G220</f>
        <v>151714</v>
      </c>
    </row>
    <row r="220" spans="1:7" ht="63">
      <c r="A220" s="71" t="s">
        <v>1005</v>
      </c>
      <c r="B220" s="22" t="s">
        <v>1016</v>
      </c>
      <c r="C220" s="64">
        <v>600</v>
      </c>
      <c r="D220" s="98"/>
      <c r="E220" s="98"/>
      <c r="F220" s="98">
        <v>151714</v>
      </c>
      <c r="G220" s="428">
        <v>151714</v>
      </c>
    </row>
    <row r="221" spans="1:7" ht="31.5">
      <c r="A221" s="136" t="s">
        <v>451</v>
      </c>
      <c r="B221" s="21" t="s">
        <v>452</v>
      </c>
      <c r="C221" s="63"/>
      <c r="D221" s="104" t="e">
        <f>D223+#REF!+D225</f>
        <v>#REF!</v>
      </c>
      <c r="E221" s="104">
        <f>E222</f>
        <v>0</v>
      </c>
      <c r="F221" s="104">
        <f>F222</f>
        <v>6064891.319999999</v>
      </c>
      <c r="G221" s="425">
        <f>G222</f>
        <v>6064891.319999999</v>
      </c>
    </row>
    <row r="222" spans="1:7" ht="31.5">
      <c r="A222" s="136" t="s">
        <v>938</v>
      </c>
      <c r="B222" s="21" t="s">
        <v>453</v>
      </c>
      <c r="C222" s="63"/>
      <c r="D222" s="104"/>
      <c r="E222" s="104">
        <f>SUM(E223:E230)</f>
        <v>0</v>
      </c>
      <c r="F222" s="104">
        <f>SUM(F223:F230)</f>
        <v>6064891.319999999</v>
      </c>
      <c r="G222" s="425">
        <f>SUM(G223:G230)</f>
        <v>6064891.319999999</v>
      </c>
    </row>
    <row r="223" spans="1:7" ht="64.5" customHeight="1">
      <c r="A223" s="237" t="s">
        <v>454</v>
      </c>
      <c r="B223" s="141" t="s">
        <v>455</v>
      </c>
      <c r="C223" s="142">
        <v>600</v>
      </c>
      <c r="D223" s="143"/>
      <c r="E223" s="143"/>
      <c r="F223" s="98">
        <v>5300230.89</v>
      </c>
      <c r="G223" s="428">
        <v>5300230.89</v>
      </c>
    </row>
    <row r="224" spans="1:7" ht="83.25" customHeight="1">
      <c r="A224" s="71" t="s">
        <v>871</v>
      </c>
      <c r="B224" s="22" t="s">
        <v>872</v>
      </c>
      <c r="C224" s="64">
        <v>600</v>
      </c>
      <c r="D224" s="98"/>
      <c r="E224" s="98"/>
      <c r="F224" s="143">
        <v>6264.6</v>
      </c>
      <c r="G224" s="426">
        <v>6264.6</v>
      </c>
    </row>
    <row r="225" spans="1:7" ht="94.5">
      <c r="A225" s="71" t="s">
        <v>726</v>
      </c>
      <c r="B225" s="22" t="s">
        <v>456</v>
      </c>
      <c r="C225" s="64">
        <v>600</v>
      </c>
      <c r="D225" s="98">
        <v>451896</v>
      </c>
      <c r="E225" s="98"/>
      <c r="F225" s="143">
        <v>620195.83</v>
      </c>
      <c r="G225" s="426">
        <v>620195.83</v>
      </c>
    </row>
    <row r="226" spans="1:7" ht="63.75" customHeight="1">
      <c r="A226" s="71" t="s">
        <v>1180</v>
      </c>
      <c r="B226" s="22" t="s">
        <v>1179</v>
      </c>
      <c r="C226" s="64">
        <v>600</v>
      </c>
      <c r="D226" s="98"/>
      <c r="E226" s="98"/>
      <c r="F226" s="143"/>
      <c r="G226" s="426"/>
    </row>
    <row r="227" spans="1:7" ht="66.75" customHeight="1">
      <c r="A227" s="169" t="s">
        <v>1198</v>
      </c>
      <c r="B227" s="22" t="s">
        <v>1188</v>
      </c>
      <c r="C227" s="64">
        <v>600</v>
      </c>
      <c r="D227" s="98"/>
      <c r="E227" s="98"/>
      <c r="F227" s="143"/>
      <c r="G227" s="426"/>
    </row>
    <row r="228" spans="1:7" ht="98.25" customHeight="1">
      <c r="A228" s="169" t="s">
        <v>1199</v>
      </c>
      <c r="B228" s="22" t="s">
        <v>1189</v>
      </c>
      <c r="C228" s="64">
        <v>600</v>
      </c>
      <c r="D228" s="98"/>
      <c r="E228" s="98"/>
      <c r="F228" s="143"/>
      <c r="G228" s="426"/>
    </row>
    <row r="229" spans="1:7" ht="51.75" customHeight="1">
      <c r="A229" s="169" t="s">
        <v>1454</v>
      </c>
      <c r="B229" s="141" t="s">
        <v>1383</v>
      </c>
      <c r="C229" s="142">
        <v>600</v>
      </c>
      <c r="D229" s="143"/>
      <c r="E229" s="143"/>
      <c r="F229" s="143">
        <v>138200</v>
      </c>
      <c r="G229" s="426">
        <v>138200</v>
      </c>
    </row>
    <row r="230" spans="1:7" ht="67.5" customHeight="1">
      <c r="A230" s="169" t="s">
        <v>1200</v>
      </c>
      <c r="B230" s="22" t="s">
        <v>1190</v>
      </c>
      <c r="C230" s="64">
        <v>600</v>
      </c>
      <c r="D230" s="98"/>
      <c r="E230" s="98"/>
      <c r="F230" s="143"/>
      <c r="G230" s="426"/>
    </row>
    <row r="231" spans="1:7" ht="63">
      <c r="A231" s="226" t="s">
        <v>891</v>
      </c>
      <c r="B231" s="24" t="s">
        <v>457</v>
      </c>
      <c r="C231" s="128"/>
      <c r="D231" s="129"/>
      <c r="E231" s="129">
        <f>E232</f>
        <v>61192.92</v>
      </c>
      <c r="F231" s="165">
        <f>F232+F251+F258</f>
        <v>3735939.8899999997</v>
      </c>
      <c r="G231" s="424">
        <f>G232+G251+G258</f>
        <v>3674746.9699999997</v>
      </c>
    </row>
    <row r="232" spans="1:7" ht="54" customHeight="1">
      <c r="A232" s="136" t="s">
        <v>465</v>
      </c>
      <c r="B232" s="21" t="s">
        <v>458</v>
      </c>
      <c r="C232" s="128"/>
      <c r="D232" s="129"/>
      <c r="E232" s="129">
        <f>E233+E241+E248</f>
        <v>61192.92</v>
      </c>
      <c r="F232" s="129">
        <f>F233+F241+F248</f>
        <v>1825655.13</v>
      </c>
      <c r="G232" s="427">
        <f>G233+G241+G248</f>
        <v>1764462.21</v>
      </c>
    </row>
    <row r="233" spans="1:7" ht="23.25" customHeight="1">
      <c r="A233" s="240" t="s">
        <v>466</v>
      </c>
      <c r="B233" s="21" t="s">
        <v>459</v>
      </c>
      <c r="C233" s="128"/>
      <c r="D233" s="129"/>
      <c r="E233" s="129">
        <f>SUM(E234:E240)</f>
        <v>51848</v>
      </c>
      <c r="F233" s="129">
        <f>SUM(F234:F240)</f>
        <v>985348</v>
      </c>
      <c r="G233" s="427">
        <f>SUM(G234:G240)</f>
        <v>933500</v>
      </c>
    </row>
    <row r="234" spans="1:7" ht="79.5" customHeight="1">
      <c r="A234" s="71" t="s">
        <v>700</v>
      </c>
      <c r="B234" s="22" t="s">
        <v>1420</v>
      </c>
      <c r="C234" s="64">
        <v>600</v>
      </c>
      <c r="D234" s="98"/>
      <c r="E234" s="98"/>
      <c r="F234" s="143">
        <v>350000</v>
      </c>
      <c r="G234" s="426">
        <v>350000</v>
      </c>
    </row>
    <row r="235" spans="1:7" ht="94.5">
      <c r="A235" s="71" t="s">
        <v>747</v>
      </c>
      <c r="B235" s="22" t="s">
        <v>1421</v>
      </c>
      <c r="C235" s="64">
        <v>100</v>
      </c>
      <c r="D235" s="98"/>
      <c r="E235" s="98"/>
      <c r="F235" s="143">
        <v>56000</v>
      </c>
      <c r="G235" s="426">
        <v>56000</v>
      </c>
    </row>
    <row r="236" spans="1:8" ht="45" customHeight="1">
      <c r="A236" s="71" t="s">
        <v>609</v>
      </c>
      <c r="B236" s="22" t="s">
        <v>1422</v>
      </c>
      <c r="C236" s="64">
        <v>200</v>
      </c>
      <c r="D236" s="98"/>
      <c r="E236" s="98">
        <v>5648</v>
      </c>
      <c r="F236" s="143">
        <v>71148</v>
      </c>
      <c r="G236" s="426">
        <v>65500</v>
      </c>
      <c r="H236" s="193"/>
    </row>
    <row r="237" spans="1:7" ht="63">
      <c r="A237" s="71" t="s">
        <v>1018</v>
      </c>
      <c r="B237" s="22" t="s">
        <v>1422</v>
      </c>
      <c r="C237" s="64">
        <v>600</v>
      </c>
      <c r="D237" s="98"/>
      <c r="E237" s="98"/>
      <c r="F237" s="143"/>
      <c r="G237" s="426"/>
    </row>
    <row r="238" spans="1:8" ht="63">
      <c r="A238" s="71" t="s">
        <v>772</v>
      </c>
      <c r="B238" s="22" t="s">
        <v>1422</v>
      </c>
      <c r="C238" s="64">
        <v>200</v>
      </c>
      <c r="D238" s="98"/>
      <c r="E238" s="98">
        <v>5775</v>
      </c>
      <c r="F238" s="98">
        <v>63525</v>
      </c>
      <c r="G238" s="428">
        <v>57750</v>
      </c>
      <c r="H238" s="193"/>
    </row>
    <row r="239" spans="1:8" ht="63.75" customHeight="1">
      <c r="A239" s="71" t="s">
        <v>773</v>
      </c>
      <c r="B239" s="22" t="s">
        <v>1422</v>
      </c>
      <c r="C239" s="64">
        <v>600</v>
      </c>
      <c r="D239" s="98"/>
      <c r="E239" s="98">
        <v>35805</v>
      </c>
      <c r="F239" s="98">
        <v>393855</v>
      </c>
      <c r="G239" s="428">
        <v>358050</v>
      </c>
      <c r="H239" s="193"/>
    </row>
    <row r="240" spans="1:8" ht="78.75">
      <c r="A240" s="65" t="s">
        <v>894</v>
      </c>
      <c r="B240" s="22" t="s">
        <v>1423</v>
      </c>
      <c r="C240" s="64">
        <v>600</v>
      </c>
      <c r="D240" s="98"/>
      <c r="E240" s="98">
        <v>4620</v>
      </c>
      <c r="F240" s="98">
        <v>50820</v>
      </c>
      <c r="G240" s="428">
        <v>46200</v>
      </c>
      <c r="H240" s="193"/>
    </row>
    <row r="241" spans="1:7" ht="31.5">
      <c r="A241" s="232" t="s">
        <v>376</v>
      </c>
      <c r="B241" s="127" t="s">
        <v>1424</v>
      </c>
      <c r="C241" s="128"/>
      <c r="D241" s="129"/>
      <c r="E241" s="129">
        <f>SUM(E242:E247)</f>
        <v>344.92</v>
      </c>
      <c r="F241" s="129">
        <f>SUM(F242:F247)</f>
        <v>816307.1299999999</v>
      </c>
      <c r="G241" s="427">
        <f>SUM(G242:G247)</f>
        <v>815962.21</v>
      </c>
    </row>
    <row r="242" spans="1:7" ht="63">
      <c r="A242" s="65" t="s">
        <v>599</v>
      </c>
      <c r="B242" s="22" t="s">
        <v>1425</v>
      </c>
      <c r="C242" s="64">
        <v>200</v>
      </c>
      <c r="D242" s="98">
        <v>320000</v>
      </c>
      <c r="E242" s="98"/>
      <c r="F242" s="143">
        <v>350000</v>
      </c>
      <c r="G242" s="426">
        <v>350000</v>
      </c>
    </row>
    <row r="243" spans="1:7" ht="47.25">
      <c r="A243" s="65" t="s">
        <v>1073</v>
      </c>
      <c r="B243" s="22" t="s">
        <v>1426</v>
      </c>
      <c r="C243" s="64">
        <v>200</v>
      </c>
      <c r="D243" s="98"/>
      <c r="E243" s="98"/>
      <c r="F243" s="143">
        <v>10000</v>
      </c>
      <c r="G243" s="426">
        <v>10000</v>
      </c>
    </row>
    <row r="244" spans="1:7" ht="63">
      <c r="A244" s="65" t="s">
        <v>1033</v>
      </c>
      <c r="B244" s="22" t="s">
        <v>1427</v>
      </c>
      <c r="C244" s="64">
        <v>200</v>
      </c>
      <c r="D244" s="98"/>
      <c r="E244" s="98"/>
      <c r="F244" s="143">
        <v>12240</v>
      </c>
      <c r="G244" s="426">
        <v>12240</v>
      </c>
    </row>
    <row r="245" spans="1:7" ht="47.25">
      <c r="A245" s="65" t="s">
        <v>600</v>
      </c>
      <c r="B245" s="22" t="s">
        <v>1428</v>
      </c>
      <c r="C245" s="64">
        <v>200</v>
      </c>
      <c r="D245" s="98">
        <v>10975</v>
      </c>
      <c r="E245" s="98"/>
      <c r="F245" s="143">
        <v>10666.5</v>
      </c>
      <c r="G245" s="426">
        <v>10666.5</v>
      </c>
    </row>
    <row r="246" spans="1:8" ht="94.5">
      <c r="A246" s="65" t="s">
        <v>377</v>
      </c>
      <c r="B246" s="22" t="s">
        <v>1429</v>
      </c>
      <c r="C246" s="64">
        <v>100</v>
      </c>
      <c r="D246" s="98">
        <v>383500</v>
      </c>
      <c r="E246" s="98">
        <v>344.92</v>
      </c>
      <c r="F246" s="143">
        <v>417080.92</v>
      </c>
      <c r="G246" s="426">
        <v>416736</v>
      </c>
      <c r="H246" s="193"/>
    </row>
    <row r="247" spans="1:7" ht="63">
      <c r="A247" s="65" t="s">
        <v>601</v>
      </c>
      <c r="B247" s="22" t="s">
        <v>1429</v>
      </c>
      <c r="C247" s="64">
        <v>200</v>
      </c>
      <c r="D247" s="98">
        <v>63370</v>
      </c>
      <c r="E247" s="98"/>
      <c r="F247" s="143">
        <v>16319.71</v>
      </c>
      <c r="G247" s="426">
        <v>16319.71</v>
      </c>
    </row>
    <row r="248" spans="1:7" ht="31.5">
      <c r="A248" s="136" t="s">
        <v>1048</v>
      </c>
      <c r="B248" s="127" t="s">
        <v>1430</v>
      </c>
      <c r="C248" s="128"/>
      <c r="D248" s="129"/>
      <c r="E248" s="129">
        <f>SUM(E249:E250)</f>
        <v>9000</v>
      </c>
      <c r="F248" s="129">
        <f>SUM(F249:F250)</f>
        <v>24000</v>
      </c>
      <c r="G248" s="427">
        <f>SUM(G249:G250)</f>
        <v>15000</v>
      </c>
    </row>
    <row r="249" spans="1:8" ht="48" customHeight="1">
      <c r="A249" s="65" t="s">
        <v>1242</v>
      </c>
      <c r="B249" s="22" t="s">
        <v>1431</v>
      </c>
      <c r="C249" s="64">
        <v>200</v>
      </c>
      <c r="D249" s="98"/>
      <c r="E249" s="98">
        <v>9000</v>
      </c>
      <c r="F249" s="143">
        <v>18000</v>
      </c>
      <c r="G249" s="426">
        <v>9000</v>
      </c>
      <c r="H249" s="193"/>
    </row>
    <row r="250" spans="1:7" ht="63">
      <c r="A250" s="65" t="s">
        <v>1243</v>
      </c>
      <c r="B250" s="22" t="s">
        <v>1432</v>
      </c>
      <c r="C250" s="64">
        <v>200</v>
      </c>
      <c r="D250" s="98"/>
      <c r="E250" s="98"/>
      <c r="F250" s="143">
        <v>6000</v>
      </c>
      <c r="G250" s="426">
        <v>6000</v>
      </c>
    </row>
    <row r="251" spans="1:7" ht="31.5">
      <c r="A251" s="136" t="s">
        <v>467</v>
      </c>
      <c r="B251" s="21" t="s">
        <v>1433</v>
      </c>
      <c r="C251" s="63"/>
      <c r="D251" s="104">
        <f>D253</f>
        <v>0</v>
      </c>
      <c r="E251" s="104">
        <f>E252+E254</f>
        <v>0</v>
      </c>
      <c r="F251" s="104">
        <f>F252+F254</f>
        <v>61400</v>
      </c>
      <c r="G251" s="425">
        <f>G252+G254</f>
        <v>61400</v>
      </c>
    </row>
    <row r="252" spans="1:7" ht="35.25" customHeight="1">
      <c r="A252" s="136" t="s">
        <v>1049</v>
      </c>
      <c r="B252" s="21" t="s">
        <v>1434</v>
      </c>
      <c r="C252" s="63"/>
      <c r="D252" s="104"/>
      <c r="E252" s="104">
        <f>E253</f>
        <v>0</v>
      </c>
      <c r="F252" s="104">
        <f>F253</f>
        <v>4000</v>
      </c>
      <c r="G252" s="425">
        <f>G253</f>
        <v>4000</v>
      </c>
    </row>
    <row r="253" spans="1:7" ht="63">
      <c r="A253" s="71" t="s">
        <v>1050</v>
      </c>
      <c r="B253" s="22" t="s">
        <v>1435</v>
      </c>
      <c r="C253" s="64">
        <v>200</v>
      </c>
      <c r="D253" s="98"/>
      <c r="E253" s="98"/>
      <c r="F253" s="143">
        <v>4000</v>
      </c>
      <c r="G253" s="426">
        <v>4000</v>
      </c>
    </row>
    <row r="254" spans="1:7" ht="31.5">
      <c r="A254" s="136" t="s">
        <v>943</v>
      </c>
      <c r="B254" s="21" t="s">
        <v>1436</v>
      </c>
      <c r="C254" s="63"/>
      <c r="D254" s="98"/>
      <c r="E254" s="129">
        <f>SUM(E255:E257)</f>
        <v>0</v>
      </c>
      <c r="F254" s="129">
        <f>SUM(F255:F257)</f>
        <v>57400</v>
      </c>
      <c r="G254" s="427">
        <f>SUM(G255:G257)</f>
        <v>57400</v>
      </c>
    </row>
    <row r="255" spans="1:7" ht="94.5">
      <c r="A255" s="71" t="s">
        <v>986</v>
      </c>
      <c r="B255" s="22" t="s">
        <v>1437</v>
      </c>
      <c r="C255" s="64">
        <v>100</v>
      </c>
      <c r="D255" s="98"/>
      <c r="E255" s="98"/>
      <c r="F255" s="143">
        <v>15000</v>
      </c>
      <c r="G255" s="426">
        <v>15000</v>
      </c>
    </row>
    <row r="256" spans="1:7" ht="63">
      <c r="A256" s="71" t="s">
        <v>987</v>
      </c>
      <c r="B256" s="22" t="s">
        <v>1438</v>
      </c>
      <c r="C256" s="64">
        <v>200</v>
      </c>
      <c r="D256" s="98"/>
      <c r="E256" s="98"/>
      <c r="F256" s="143">
        <v>5000</v>
      </c>
      <c r="G256" s="426">
        <v>5000</v>
      </c>
    </row>
    <row r="257" spans="1:7" ht="63">
      <c r="A257" s="71" t="s">
        <v>954</v>
      </c>
      <c r="B257" s="22" t="s">
        <v>1439</v>
      </c>
      <c r="C257" s="64">
        <v>200</v>
      </c>
      <c r="D257" s="98"/>
      <c r="E257" s="98"/>
      <c r="F257" s="143">
        <v>37400</v>
      </c>
      <c r="G257" s="426">
        <v>37400</v>
      </c>
    </row>
    <row r="258" spans="1:7" ht="31.5">
      <c r="A258" s="136" t="s">
        <v>1022</v>
      </c>
      <c r="B258" s="21" t="s">
        <v>1440</v>
      </c>
      <c r="C258" s="63"/>
      <c r="D258" s="104">
        <f>D260</f>
        <v>0</v>
      </c>
      <c r="E258" s="104">
        <f>E259</f>
        <v>0</v>
      </c>
      <c r="F258" s="104">
        <f>F259</f>
        <v>1848884.76</v>
      </c>
      <c r="G258" s="425">
        <f>G259</f>
        <v>1848884.76</v>
      </c>
    </row>
    <row r="259" spans="1:7" ht="31.5">
      <c r="A259" s="136" t="s">
        <v>1023</v>
      </c>
      <c r="B259" s="21" t="s">
        <v>1441</v>
      </c>
      <c r="C259" s="63"/>
      <c r="D259" s="104"/>
      <c r="E259" s="104">
        <f>E260+E261+E262</f>
        <v>0</v>
      </c>
      <c r="F259" s="104">
        <f>F260+F261+F262</f>
        <v>1848884.76</v>
      </c>
      <c r="G259" s="425">
        <f>G260+G261+G262</f>
        <v>1848884.76</v>
      </c>
    </row>
    <row r="260" spans="1:7" ht="93" customHeight="1">
      <c r="A260" s="71" t="s">
        <v>1025</v>
      </c>
      <c r="B260" s="22" t="s">
        <v>1442</v>
      </c>
      <c r="C260" s="64">
        <v>100</v>
      </c>
      <c r="D260" s="98"/>
      <c r="E260" s="98"/>
      <c r="F260" s="143">
        <v>1768804.76</v>
      </c>
      <c r="G260" s="426">
        <v>1768804.76</v>
      </c>
    </row>
    <row r="261" spans="1:7" ht="47.25" customHeight="1">
      <c r="A261" s="71" t="s">
        <v>1024</v>
      </c>
      <c r="B261" s="22" t="s">
        <v>1442</v>
      </c>
      <c r="C261" s="64">
        <v>200</v>
      </c>
      <c r="D261" s="98"/>
      <c r="E261" s="98"/>
      <c r="F261" s="143">
        <v>80080</v>
      </c>
      <c r="G261" s="426">
        <v>80080</v>
      </c>
    </row>
    <row r="262" spans="1:7" ht="48" customHeight="1">
      <c r="A262" s="71" t="s">
        <v>1026</v>
      </c>
      <c r="B262" s="22" t="s">
        <v>1442</v>
      </c>
      <c r="C262" s="64">
        <v>800</v>
      </c>
      <c r="D262" s="98"/>
      <c r="E262" s="98"/>
      <c r="F262" s="98"/>
      <c r="G262" s="428"/>
    </row>
    <row r="263" spans="1:7" ht="31.5">
      <c r="A263" s="226" t="s">
        <v>665</v>
      </c>
      <c r="B263" s="24" t="s">
        <v>460</v>
      </c>
      <c r="C263" s="230"/>
      <c r="D263" s="165">
        <f>D264</f>
        <v>0</v>
      </c>
      <c r="E263" s="165">
        <f>E264+E269</f>
        <v>72040</v>
      </c>
      <c r="F263" s="165">
        <f>F264+F269</f>
        <v>4309040</v>
      </c>
      <c r="G263" s="424">
        <f>G264+G269</f>
        <v>4237000</v>
      </c>
    </row>
    <row r="264" spans="1:7" ht="31.5">
      <c r="A264" s="136" t="s">
        <v>939</v>
      </c>
      <c r="B264" s="21" t="s">
        <v>461</v>
      </c>
      <c r="C264" s="63"/>
      <c r="D264" s="104">
        <f>SUM(D266:D268)</f>
        <v>0</v>
      </c>
      <c r="E264" s="104">
        <f>E265</f>
        <v>72040</v>
      </c>
      <c r="F264" s="104">
        <f>F265</f>
        <v>4309040</v>
      </c>
      <c r="G264" s="425">
        <f>G265</f>
        <v>4237000</v>
      </c>
    </row>
    <row r="265" spans="1:7" ht="31.5">
      <c r="A265" s="136" t="s">
        <v>1004</v>
      </c>
      <c r="B265" s="21" t="s">
        <v>462</v>
      </c>
      <c r="C265" s="63"/>
      <c r="D265" s="104"/>
      <c r="E265" s="104">
        <f>SUM(E266:E268)</f>
        <v>72040</v>
      </c>
      <c r="F265" s="104">
        <f>SUM(F266:F268)</f>
        <v>4309040</v>
      </c>
      <c r="G265" s="425">
        <f>SUM(G266:G268)</f>
        <v>4237000</v>
      </c>
    </row>
    <row r="266" spans="1:7" ht="96.75" customHeight="1">
      <c r="A266" s="71" t="s">
        <v>549</v>
      </c>
      <c r="B266" s="22" t="s">
        <v>464</v>
      </c>
      <c r="C266" s="64">
        <v>100</v>
      </c>
      <c r="D266" s="98">
        <v>56705</v>
      </c>
      <c r="E266" s="98"/>
      <c r="F266" s="98">
        <v>3850265.8</v>
      </c>
      <c r="G266" s="428">
        <v>3850265.8</v>
      </c>
    </row>
    <row r="267" spans="1:8" ht="65.25" customHeight="1">
      <c r="A267" s="71" t="s">
        <v>608</v>
      </c>
      <c r="B267" s="22" t="s">
        <v>464</v>
      </c>
      <c r="C267" s="64">
        <v>200</v>
      </c>
      <c r="D267" s="98">
        <v>-50705</v>
      </c>
      <c r="E267" s="98">
        <v>72040</v>
      </c>
      <c r="F267" s="98">
        <v>458774.2</v>
      </c>
      <c r="G267" s="428">
        <v>386734.2</v>
      </c>
      <c r="H267" s="193"/>
    </row>
    <row r="268" spans="1:7" ht="31.5" customHeight="1">
      <c r="A268" s="71" t="s">
        <v>463</v>
      </c>
      <c r="B268" s="22" t="s">
        <v>464</v>
      </c>
      <c r="C268" s="64">
        <v>800</v>
      </c>
      <c r="D268" s="98">
        <v>-6000</v>
      </c>
      <c r="E268" s="98"/>
      <c r="F268" s="98"/>
      <c r="G268" s="428"/>
    </row>
    <row r="269" spans="1:7" ht="31.5">
      <c r="A269" s="136" t="s">
        <v>1137</v>
      </c>
      <c r="B269" s="21" t="s">
        <v>1139</v>
      </c>
      <c r="C269" s="128"/>
      <c r="D269" s="129"/>
      <c r="E269" s="129">
        <f aca="true" t="shared" si="5" ref="E269:G270">E270</f>
        <v>0</v>
      </c>
      <c r="F269" s="129">
        <f t="shared" si="5"/>
        <v>0</v>
      </c>
      <c r="G269" s="427">
        <f t="shared" si="5"/>
        <v>0</v>
      </c>
    </row>
    <row r="270" spans="1:7" ht="31.5">
      <c r="A270" s="136" t="s">
        <v>1138</v>
      </c>
      <c r="B270" s="21" t="s">
        <v>1140</v>
      </c>
      <c r="C270" s="128"/>
      <c r="D270" s="129"/>
      <c r="E270" s="129">
        <f t="shared" si="5"/>
        <v>0</v>
      </c>
      <c r="F270" s="129">
        <f t="shared" si="5"/>
        <v>0</v>
      </c>
      <c r="G270" s="427">
        <f t="shared" si="5"/>
        <v>0</v>
      </c>
    </row>
    <row r="271" spans="1:7" ht="47.25">
      <c r="A271" s="71" t="s">
        <v>1141</v>
      </c>
      <c r="B271" s="22" t="s">
        <v>1142</v>
      </c>
      <c r="C271" s="64">
        <v>200</v>
      </c>
      <c r="D271" s="98"/>
      <c r="E271" s="98"/>
      <c r="F271" s="98"/>
      <c r="G271" s="428"/>
    </row>
    <row r="272" spans="1:7" ht="47.25">
      <c r="A272" s="226" t="s">
        <v>468</v>
      </c>
      <c r="B272" s="24" t="s">
        <v>469</v>
      </c>
      <c r="C272" s="230"/>
      <c r="D272" s="165">
        <f>D273</f>
        <v>30000</v>
      </c>
      <c r="E272" s="165">
        <f>E273</f>
        <v>84990.89</v>
      </c>
      <c r="F272" s="165">
        <f>F273</f>
        <v>13176802.57</v>
      </c>
      <c r="G272" s="424">
        <f>G273</f>
        <v>13091811.68</v>
      </c>
    </row>
    <row r="273" spans="1:7" ht="15.75">
      <c r="A273" s="136" t="s">
        <v>2</v>
      </c>
      <c r="B273" s="21" t="s">
        <v>470</v>
      </c>
      <c r="C273" s="63"/>
      <c r="D273" s="104">
        <f>SUM(D23:D24)</f>
        <v>30000</v>
      </c>
      <c r="E273" s="104">
        <f>SUM(E274:E289)</f>
        <v>84990.89</v>
      </c>
      <c r="F273" s="104">
        <f>SUM(F274:F289)</f>
        <v>13176802.57</v>
      </c>
      <c r="G273" s="425">
        <f>SUM(G274:G289)</f>
        <v>13091811.68</v>
      </c>
    </row>
    <row r="274" spans="1:7" ht="34.5" customHeight="1">
      <c r="A274" s="234" t="s">
        <v>625</v>
      </c>
      <c r="B274" s="22" t="s">
        <v>473</v>
      </c>
      <c r="C274" s="64">
        <v>800</v>
      </c>
      <c r="D274" s="98"/>
      <c r="E274" s="98"/>
      <c r="F274" s="143">
        <v>44022</v>
      </c>
      <c r="G274" s="426">
        <v>44022</v>
      </c>
    </row>
    <row r="275" spans="1:7" ht="51" customHeight="1">
      <c r="A275" s="65" t="s">
        <v>611</v>
      </c>
      <c r="B275" s="22" t="s">
        <v>472</v>
      </c>
      <c r="C275" s="64">
        <v>200</v>
      </c>
      <c r="D275" s="98"/>
      <c r="E275" s="98"/>
      <c r="F275" s="143">
        <v>117180</v>
      </c>
      <c r="G275" s="426">
        <v>117180</v>
      </c>
    </row>
    <row r="276" spans="1:7" ht="47.25">
      <c r="A276" s="65" t="s">
        <v>474</v>
      </c>
      <c r="B276" s="22" t="s">
        <v>475</v>
      </c>
      <c r="C276" s="64">
        <v>400</v>
      </c>
      <c r="D276" s="98"/>
      <c r="E276" s="98"/>
      <c r="F276" s="143"/>
      <c r="G276" s="426"/>
    </row>
    <row r="277" spans="1:7" ht="65.25" customHeight="1">
      <c r="A277" s="65" t="s">
        <v>637</v>
      </c>
      <c r="B277" s="22" t="s">
        <v>631</v>
      </c>
      <c r="C277" s="64">
        <v>200</v>
      </c>
      <c r="D277" s="98"/>
      <c r="E277" s="98"/>
      <c r="F277" s="143"/>
      <c r="G277" s="426"/>
    </row>
    <row r="278" spans="1:7" ht="50.25" customHeight="1">
      <c r="A278" s="65" t="s">
        <v>922</v>
      </c>
      <c r="B278" s="22" t="s">
        <v>953</v>
      </c>
      <c r="C278" s="64">
        <v>200</v>
      </c>
      <c r="D278" s="98"/>
      <c r="E278" s="98"/>
      <c r="F278" s="143">
        <v>816533.33</v>
      </c>
      <c r="G278" s="426">
        <v>816533.33</v>
      </c>
    </row>
    <row r="279" spans="1:7" ht="66" customHeight="1">
      <c r="A279" s="65" t="s">
        <v>639</v>
      </c>
      <c r="B279" s="22" t="s">
        <v>638</v>
      </c>
      <c r="C279" s="64">
        <v>200</v>
      </c>
      <c r="D279" s="98"/>
      <c r="E279" s="98"/>
      <c r="F279" s="143">
        <v>119659.25</v>
      </c>
      <c r="G279" s="426">
        <v>119659.25</v>
      </c>
    </row>
    <row r="280" spans="1:7" ht="49.5" customHeight="1">
      <c r="A280" s="65" t="s">
        <v>754</v>
      </c>
      <c r="B280" s="22" t="s">
        <v>753</v>
      </c>
      <c r="C280" s="64">
        <v>200</v>
      </c>
      <c r="D280" s="98"/>
      <c r="E280" s="98"/>
      <c r="F280" s="143"/>
      <c r="G280" s="426"/>
    </row>
    <row r="281" spans="1:7" ht="51.75" customHeight="1">
      <c r="A281" s="65" t="s">
        <v>766</v>
      </c>
      <c r="B281" s="22" t="s">
        <v>765</v>
      </c>
      <c r="C281" s="64">
        <v>200</v>
      </c>
      <c r="D281" s="98"/>
      <c r="E281" s="98"/>
      <c r="F281" s="143">
        <v>4289425.6</v>
      </c>
      <c r="G281" s="426">
        <v>4289425.6</v>
      </c>
    </row>
    <row r="282" spans="1:7" ht="114.75" customHeight="1">
      <c r="A282" s="66" t="s">
        <v>1333</v>
      </c>
      <c r="B282" s="22" t="s">
        <v>1353</v>
      </c>
      <c r="C282" s="64">
        <v>800</v>
      </c>
      <c r="D282" s="98"/>
      <c r="E282" s="98"/>
      <c r="F282" s="143">
        <v>69684.75</v>
      </c>
      <c r="G282" s="426">
        <v>69684.75</v>
      </c>
    </row>
    <row r="283" spans="1:7" ht="32.25" customHeight="1">
      <c r="A283" s="235" t="s">
        <v>1351</v>
      </c>
      <c r="B283" s="22" t="s">
        <v>1396</v>
      </c>
      <c r="C283" s="64">
        <v>800</v>
      </c>
      <c r="D283" s="98"/>
      <c r="E283" s="98"/>
      <c r="F283" s="143">
        <v>380000</v>
      </c>
      <c r="G283" s="426">
        <v>380000</v>
      </c>
    </row>
    <row r="284" spans="1:7" ht="143.25" customHeight="1">
      <c r="A284" s="65" t="s">
        <v>624</v>
      </c>
      <c r="B284" s="22" t="s">
        <v>622</v>
      </c>
      <c r="C284" s="64">
        <v>800</v>
      </c>
      <c r="D284" s="98"/>
      <c r="E284" s="98"/>
      <c r="F284" s="98"/>
      <c r="G284" s="428"/>
    </row>
    <row r="285" spans="1:7" ht="111" customHeight="1">
      <c r="A285" s="65" t="s">
        <v>612</v>
      </c>
      <c r="B285" s="22" t="s">
        <v>476</v>
      </c>
      <c r="C285" s="64">
        <v>200</v>
      </c>
      <c r="D285" s="98">
        <v>59850</v>
      </c>
      <c r="E285" s="98">
        <v>41450.64</v>
      </c>
      <c r="F285" s="143">
        <v>120722.64</v>
      </c>
      <c r="G285" s="426">
        <v>79272</v>
      </c>
    </row>
    <row r="286" spans="1:7" ht="111" customHeight="1">
      <c r="A286" s="65" t="s">
        <v>613</v>
      </c>
      <c r="B286" s="22" t="s">
        <v>751</v>
      </c>
      <c r="C286" s="64">
        <v>200</v>
      </c>
      <c r="D286" s="98">
        <v>63180</v>
      </c>
      <c r="E286" s="98"/>
      <c r="F286" s="143">
        <v>140392</v>
      </c>
      <c r="G286" s="426">
        <v>140392</v>
      </c>
    </row>
    <row r="287" spans="1:7" ht="50.25" customHeight="1">
      <c r="A287" s="65" t="s">
        <v>477</v>
      </c>
      <c r="B287" s="22" t="s">
        <v>478</v>
      </c>
      <c r="C287" s="64">
        <v>600</v>
      </c>
      <c r="D287" s="98"/>
      <c r="E287" s="98"/>
      <c r="F287" s="98"/>
      <c r="G287" s="428"/>
    </row>
    <row r="288" spans="1:7" ht="81" customHeight="1">
      <c r="A288" s="65" t="s">
        <v>926</v>
      </c>
      <c r="B288" s="22" t="s">
        <v>479</v>
      </c>
      <c r="C288" s="64">
        <v>300</v>
      </c>
      <c r="D288" s="98"/>
      <c r="E288" s="98"/>
      <c r="F288" s="98">
        <v>1035000</v>
      </c>
      <c r="G288" s="428">
        <v>1035000</v>
      </c>
    </row>
    <row r="289" spans="1:8" ht="159" customHeight="1">
      <c r="A289" s="71" t="s">
        <v>480</v>
      </c>
      <c r="B289" s="22" t="s">
        <v>481</v>
      </c>
      <c r="C289" s="64">
        <v>600</v>
      </c>
      <c r="D289" s="98">
        <v>208560</v>
      </c>
      <c r="E289" s="98">
        <v>43540.25</v>
      </c>
      <c r="F289" s="98">
        <v>6044183</v>
      </c>
      <c r="G289" s="428">
        <v>6000642.75</v>
      </c>
      <c r="H289" s="193"/>
    </row>
    <row r="290" spans="1:7" ht="48.75" customHeight="1">
      <c r="A290" s="160" t="s">
        <v>482</v>
      </c>
      <c r="B290" s="24" t="s">
        <v>483</v>
      </c>
      <c r="C290" s="230"/>
      <c r="D290" s="165">
        <f aca="true" t="shared" si="6" ref="D290:G293">D291</f>
        <v>0</v>
      </c>
      <c r="E290" s="165">
        <f t="shared" si="6"/>
        <v>3886</v>
      </c>
      <c r="F290" s="165">
        <f>F291</f>
        <v>9106</v>
      </c>
      <c r="G290" s="424">
        <f>G291</f>
        <v>5220</v>
      </c>
    </row>
    <row r="291" spans="1:7" ht="15.75">
      <c r="A291" s="161" t="s">
        <v>2</v>
      </c>
      <c r="B291" s="21" t="s">
        <v>484</v>
      </c>
      <c r="C291" s="63"/>
      <c r="D291" s="104">
        <f t="shared" si="6"/>
        <v>0</v>
      </c>
      <c r="E291" s="104">
        <f t="shared" si="6"/>
        <v>3886</v>
      </c>
      <c r="F291" s="104">
        <f t="shared" si="6"/>
        <v>9106</v>
      </c>
      <c r="G291" s="425">
        <f t="shared" si="6"/>
        <v>5220</v>
      </c>
    </row>
    <row r="292" spans="1:8" ht="47.25">
      <c r="A292" s="65" t="s">
        <v>895</v>
      </c>
      <c r="B292" s="22" t="s">
        <v>485</v>
      </c>
      <c r="C292" s="64">
        <v>500</v>
      </c>
      <c r="D292" s="98"/>
      <c r="E292" s="98">
        <v>3886</v>
      </c>
      <c r="F292" s="98">
        <v>9106</v>
      </c>
      <c r="G292" s="428">
        <v>5220</v>
      </c>
      <c r="H292" s="193"/>
    </row>
    <row r="293" spans="1:7" ht="48" customHeight="1">
      <c r="A293" s="160" t="s">
        <v>488</v>
      </c>
      <c r="B293" s="24" t="s">
        <v>486</v>
      </c>
      <c r="C293" s="230"/>
      <c r="D293" s="165" t="e">
        <f t="shared" si="6"/>
        <v>#REF!</v>
      </c>
      <c r="E293" s="165">
        <f t="shared" si="6"/>
        <v>300000</v>
      </c>
      <c r="F293" s="165">
        <f>F294</f>
        <v>300000</v>
      </c>
      <c r="G293" s="424">
        <f>G294</f>
        <v>0</v>
      </c>
    </row>
    <row r="294" spans="1:7" ht="15.75">
      <c r="A294" s="161" t="s">
        <v>2</v>
      </c>
      <c r="B294" s="21" t="s">
        <v>487</v>
      </c>
      <c r="C294" s="63"/>
      <c r="D294" s="104" t="e">
        <f>#REF!</f>
        <v>#REF!</v>
      </c>
      <c r="E294" s="104">
        <f>SUM(E295:E297)</f>
        <v>300000</v>
      </c>
      <c r="F294" s="104">
        <f>SUM(F295:F297)</f>
        <v>300000</v>
      </c>
      <c r="G294" s="425">
        <f>SUM(G296:G297)</f>
        <v>0</v>
      </c>
    </row>
    <row r="295" spans="1:7" ht="81" customHeight="1">
      <c r="A295" s="495" t="s">
        <v>1500</v>
      </c>
      <c r="B295" s="141" t="s">
        <v>1483</v>
      </c>
      <c r="C295" s="142">
        <v>600</v>
      </c>
      <c r="D295" s="143"/>
      <c r="E295" s="143">
        <v>300000</v>
      </c>
      <c r="F295" s="143">
        <v>300000</v>
      </c>
      <c r="G295" s="426">
        <v>0</v>
      </c>
    </row>
    <row r="296" spans="1:7" ht="63.75" customHeight="1">
      <c r="A296" s="65" t="s">
        <v>1211</v>
      </c>
      <c r="B296" s="22" t="s">
        <v>1246</v>
      </c>
      <c r="C296" s="64">
        <v>200</v>
      </c>
      <c r="D296" s="98"/>
      <c r="E296" s="98"/>
      <c r="F296" s="98"/>
      <c r="G296" s="428"/>
    </row>
    <row r="297" spans="1:7" ht="66" customHeight="1">
      <c r="A297" s="65" t="s">
        <v>1223</v>
      </c>
      <c r="B297" s="22" t="s">
        <v>1221</v>
      </c>
      <c r="C297" s="64">
        <v>200</v>
      </c>
      <c r="D297" s="98"/>
      <c r="E297" s="98"/>
      <c r="F297" s="98"/>
      <c r="G297" s="428"/>
    </row>
    <row r="298" spans="1:7" ht="15.75">
      <c r="A298" s="160" t="s">
        <v>173</v>
      </c>
      <c r="B298" s="242"/>
      <c r="C298" s="242"/>
      <c r="D298" s="243" t="e">
        <f>D11+D18+D54+D72+D85+D104+D109+D133+D170+D178+D231+D263+D272+#REF!+#REF!+#REF!+D290</f>
        <v>#REF!</v>
      </c>
      <c r="E298" s="243">
        <f>E11+E18+E54+E72+E85+E104+E109+E133+E170+E178+E231+E263+E272+E290+E293</f>
        <v>42847803.15</v>
      </c>
      <c r="F298" s="243">
        <f>F11+F18+F54+F72+F85+F104+F109+F133+F170+F178+F231+F263+F272+F290+F293</f>
        <v>364910738.99</v>
      </c>
      <c r="G298" s="431">
        <f>G11+G18+G54+G72+G85+G104+G109+G133+G170+G178+G231+G263+G272+G290+G293</f>
        <v>322062935.84000003</v>
      </c>
    </row>
    <row r="302" ht="12.75">
      <c r="E302" s="193"/>
    </row>
  </sheetData>
  <sheetProtection/>
  <mergeCells count="9">
    <mergeCell ref="A1:F1"/>
    <mergeCell ref="A2:F2"/>
    <mergeCell ref="A3:F3"/>
    <mergeCell ref="B8:B9"/>
    <mergeCell ref="C8:C9"/>
    <mergeCell ref="A8:A9"/>
    <mergeCell ref="D8:F8"/>
    <mergeCell ref="A5:F5"/>
    <mergeCell ref="A6:F6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4"/>
  <sheetViews>
    <sheetView view="pageBreakPreview" zoomScale="70" zoomScaleNormal="80" zoomScaleSheetLayoutView="70" workbookViewId="0" topLeftCell="A1">
      <selection activeCell="A1" sqref="A1:IV16384"/>
    </sheetView>
  </sheetViews>
  <sheetFormatPr defaultColWidth="9.140625" defaultRowHeight="12.75"/>
  <cols>
    <col min="1" max="1" width="73.7109375" style="130" customWidth="1"/>
    <col min="2" max="2" width="16.140625" style="130" customWidth="1"/>
    <col min="3" max="3" width="11.57421875" style="130" customWidth="1"/>
    <col min="4" max="4" width="14.7109375" style="130" hidden="1" customWidth="1"/>
    <col min="5" max="6" width="17.140625" style="130" customWidth="1"/>
    <col min="7" max="8" width="17.140625" style="421" hidden="1" customWidth="1"/>
    <col min="9" max="9" width="14.00390625" style="130" customWidth="1"/>
    <col min="10" max="16384" width="9.140625" style="130" customWidth="1"/>
  </cols>
  <sheetData>
    <row r="1" spans="1:6" ht="18" customHeight="1">
      <c r="A1" s="509" t="s">
        <v>208</v>
      </c>
      <c r="B1" s="509"/>
      <c r="C1" s="509"/>
      <c r="D1" s="509"/>
      <c r="E1" s="509"/>
      <c r="F1" s="509"/>
    </row>
    <row r="2" spans="1:6" ht="12.75" customHeight="1">
      <c r="A2" s="509" t="s">
        <v>113</v>
      </c>
      <c r="B2" s="509"/>
      <c r="C2" s="509"/>
      <c r="D2" s="509"/>
      <c r="E2" s="509"/>
      <c r="F2" s="509"/>
    </row>
    <row r="3" spans="1:6" ht="15.75">
      <c r="A3" s="509" t="s">
        <v>1465</v>
      </c>
      <c r="B3" s="509"/>
      <c r="C3" s="509"/>
      <c r="D3" s="509"/>
      <c r="E3" s="509"/>
      <c r="F3" s="509"/>
    </row>
    <row r="4" spans="1:6" ht="87" customHeight="1">
      <c r="A4" s="521" t="s">
        <v>1279</v>
      </c>
      <c r="B4" s="521"/>
      <c r="C4" s="521"/>
      <c r="D4" s="521"/>
      <c r="E4" s="521"/>
      <c r="F4" s="521"/>
    </row>
    <row r="5" spans="1:6" ht="15.75">
      <c r="A5" s="507" t="s">
        <v>1280</v>
      </c>
      <c r="B5" s="507"/>
      <c r="C5" s="507"/>
      <c r="D5" s="507"/>
      <c r="E5" s="507"/>
      <c r="F5" s="507"/>
    </row>
    <row r="6" spans="1:2" ht="12.75">
      <c r="A6" s="4"/>
      <c r="B6" s="171"/>
    </row>
    <row r="7" spans="1:8" ht="37.5" customHeight="1">
      <c r="A7" s="535" t="s">
        <v>159</v>
      </c>
      <c r="B7" s="535" t="s">
        <v>313</v>
      </c>
      <c r="C7" s="535" t="s">
        <v>319</v>
      </c>
      <c r="D7" s="535" t="s">
        <v>210</v>
      </c>
      <c r="E7" s="535"/>
      <c r="F7" s="535"/>
      <c r="G7" s="536" t="s">
        <v>1466</v>
      </c>
      <c r="H7" s="537"/>
    </row>
    <row r="8" spans="1:8" ht="30" customHeight="1">
      <c r="A8" s="535"/>
      <c r="B8" s="535"/>
      <c r="C8" s="535"/>
      <c r="D8" s="227" t="s">
        <v>228</v>
      </c>
      <c r="E8" s="276" t="s">
        <v>644</v>
      </c>
      <c r="F8" s="277" t="s">
        <v>645</v>
      </c>
      <c r="G8" s="432" t="s">
        <v>644</v>
      </c>
      <c r="H8" s="433" t="s">
        <v>645</v>
      </c>
    </row>
    <row r="9" spans="1:8" ht="16.5" customHeight="1">
      <c r="A9" s="229">
        <v>1</v>
      </c>
      <c r="B9" s="229">
        <v>2</v>
      </c>
      <c r="C9" s="229">
        <v>3</v>
      </c>
      <c r="D9" s="229">
        <v>4</v>
      </c>
      <c r="E9" s="229">
        <v>4</v>
      </c>
      <c r="F9" s="229">
        <v>5</v>
      </c>
      <c r="G9" s="423">
        <v>4</v>
      </c>
      <c r="H9" s="423">
        <v>5</v>
      </c>
    </row>
    <row r="10" spans="1:8" ht="36" customHeight="1">
      <c r="A10" s="160" t="s">
        <v>659</v>
      </c>
      <c r="B10" s="24" t="s">
        <v>341</v>
      </c>
      <c r="C10" s="128"/>
      <c r="D10" s="165">
        <f>D11</f>
        <v>-816000</v>
      </c>
      <c r="E10" s="165">
        <f>E11+E14</f>
        <v>1000000</v>
      </c>
      <c r="F10" s="165">
        <f>F11+F14</f>
        <v>1000000</v>
      </c>
      <c r="G10" s="424">
        <f>G11+G14</f>
        <v>1000000</v>
      </c>
      <c r="H10" s="424">
        <f>H11+H14</f>
        <v>1000000</v>
      </c>
    </row>
    <row r="11" spans="1:8" ht="31.5">
      <c r="A11" s="136" t="s">
        <v>1401</v>
      </c>
      <c r="B11" s="21" t="s">
        <v>342</v>
      </c>
      <c r="C11" s="63"/>
      <c r="D11" s="104">
        <f>SUM(D13:D16)</f>
        <v>-816000</v>
      </c>
      <c r="E11" s="104">
        <f>E12</f>
        <v>700000</v>
      </c>
      <c r="F11" s="104">
        <f>F12</f>
        <v>700000</v>
      </c>
      <c r="G11" s="425">
        <f>G12</f>
        <v>700000</v>
      </c>
      <c r="H11" s="425">
        <f>H12</f>
        <v>700000</v>
      </c>
    </row>
    <row r="12" spans="1:9" ht="31.5">
      <c r="A12" s="136" t="s">
        <v>929</v>
      </c>
      <c r="B12" s="21" t="s">
        <v>343</v>
      </c>
      <c r="C12" s="63"/>
      <c r="D12" s="104"/>
      <c r="E12" s="104">
        <f>SUM(E13)</f>
        <v>700000</v>
      </c>
      <c r="F12" s="104">
        <f>SUM(F13)</f>
        <v>700000</v>
      </c>
      <c r="G12" s="425">
        <f>SUM(G13)</f>
        <v>700000</v>
      </c>
      <c r="H12" s="425">
        <f>SUM(H13)</f>
        <v>700000</v>
      </c>
      <c r="I12" s="193"/>
    </row>
    <row r="13" spans="1:9" ht="63">
      <c r="A13" s="71" t="s">
        <v>590</v>
      </c>
      <c r="B13" s="22" t="s">
        <v>344</v>
      </c>
      <c r="C13" s="64">
        <v>200</v>
      </c>
      <c r="D13" s="98">
        <v>-360000</v>
      </c>
      <c r="E13" s="143">
        <v>700000</v>
      </c>
      <c r="F13" s="98">
        <v>700000</v>
      </c>
      <c r="G13" s="426">
        <v>700000</v>
      </c>
      <c r="H13" s="428">
        <v>700000</v>
      </c>
      <c r="I13" s="144"/>
    </row>
    <row r="14" spans="1:9" ht="31.5">
      <c r="A14" s="136" t="s">
        <v>1402</v>
      </c>
      <c r="B14" s="21" t="s">
        <v>1404</v>
      </c>
      <c r="C14" s="63"/>
      <c r="D14" s="98"/>
      <c r="E14" s="129">
        <f aca="true" t="shared" si="0" ref="E14:H15">E15</f>
        <v>300000</v>
      </c>
      <c r="F14" s="129">
        <f t="shared" si="0"/>
        <v>300000</v>
      </c>
      <c r="G14" s="427">
        <f t="shared" si="0"/>
        <v>300000</v>
      </c>
      <c r="H14" s="427">
        <f t="shared" si="0"/>
        <v>300000</v>
      </c>
      <c r="I14" s="144"/>
    </row>
    <row r="15" spans="1:9" ht="31.5">
      <c r="A15" s="136" t="s">
        <v>904</v>
      </c>
      <c r="B15" s="21" t="s">
        <v>1403</v>
      </c>
      <c r="C15" s="63"/>
      <c r="D15" s="98"/>
      <c r="E15" s="129">
        <f t="shared" si="0"/>
        <v>300000</v>
      </c>
      <c r="F15" s="129">
        <f t="shared" si="0"/>
        <v>300000</v>
      </c>
      <c r="G15" s="427">
        <f t="shared" si="0"/>
        <v>300000</v>
      </c>
      <c r="H15" s="427">
        <f t="shared" si="0"/>
        <v>300000</v>
      </c>
      <c r="I15" s="144"/>
    </row>
    <row r="16" spans="1:9" ht="63" customHeight="1">
      <c r="A16" s="71" t="s">
        <v>591</v>
      </c>
      <c r="B16" s="22" t="s">
        <v>1405</v>
      </c>
      <c r="C16" s="64">
        <v>200</v>
      </c>
      <c r="D16" s="98">
        <v>-456000</v>
      </c>
      <c r="E16" s="143">
        <v>300000</v>
      </c>
      <c r="F16" s="98">
        <v>300000</v>
      </c>
      <c r="G16" s="426">
        <v>300000</v>
      </c>
      <c r="H16" s="428">
        <v>300000</v>
      </c>
      <c r="I16" s="144"/>
    </row>
    <row r="17" spans="1:9" ht="31.5">
      <c r="A17" s="160" t="s">
        <v>890</v>
      </c>
      <c r="B17" s="24" t="s">
        <v>345</v>
      </c>
      <c r="C17" s="230"/>
      <c r="D17" s="165" t="e">
        <f>D18+D24+#REF!+#REF!+#REF!+#REF!</f>
        <v>#REF!</v>
      </c>
      <c r="E17" s="165">
        <f>E18+E24+E46+E49</f>
        <v>40612436.20999999</v>
      </c>
      <c r="F17" s="165">
        <f>F18+F24+F46+F49</f>
        <v>40153257.68</v>
      </c>
      <c r="G17" s="424">
        <f>G18+G24+G46+G49</f>
        <v>40612436.20999999</v>
      </c>
      <c r="H17" s="424">
        <f>H18+H24+H46+H49</f>
        <v>40153257.68</v>
      </c>
      <c r="I17" s="171"/>
    </row>
    <row r="18" spans="1:8" ht="31.5">
      <c r="A18" s="161" t="s">
        <v>346</v>
      </c>
      <c r="B18" s="21" t="s">
        <v>347</v>
      </c>
      <c r="C18" s="63"/>
      <c r="D18" s="104">
        <f>SUM(D20:D20)</f>
        <v>-47100</v>
      </c>
      <c r="E18" s="104">
        <f>E19+E21</f>
        <v>1335753.76</v>
      </c>
      <c r="F18" s="104">
        <f>F19+F21</f>
        <v>1335753.76</v>
      </c>
      <c r="G18" s="425">
        <f>G19+G21</f>
        <v>1335753.76</v>
      </c>
      <c r="H18" s="425">
        <f>H19+H21</f>
        <v>1335753.76</v>
      </c>
    </row>
    <row r="19" spans="1:8" ht="31.5">
      <c r="A19" s="161" t="s">
        <v>348</v>
      </c>
      <c r="B19" s="21" t="s">
        <v>349</v>
      </c>
      <c r="C19" s="63"/>
      <c r="D19" s="104"/>
      <c r="E19" s="104">
        <f>SUM(E20:E20)</f>
        <v>81200</v>
      </c>
      <c r="F19" s="104">
        <f>SUM(F20:F20)</f>
        <v>81200</v>
      </c>
      <c r="G19" s="425">
        <f>SUM(G20:G20)</f>
        <v>81200</v>
      </c>
      <c r="H19" s="425">
        <f>SUM(H20:H20)</f>
        <v>81200</v>
      </c>
    </row>
    <row r="20" spans="1:8" ht="94.5">
      <c r="A20" s="66" t="s">
        <v>957</v>
      </c>
      <c r="B20" s="22" t="s">
        <v>350</v>
      </c>
      <c r="C20" s="64">
        <v>200</v>
      </c>
      <c r="D20" s="98">
        <v>-47100</v>
      </c>
      <c r="E20" s="143">
        <v>81200</v>
      </c>
      <c r="F20" s="98">
        <v>81200</v>
      </c>
      <c r="G20" s="426">
        <v>81200</v>
      </c>
      <c r="H20" s="428">
        <v>81200</v>
      </c>
    </row>
    <row r="21" spans="1:8" ht="31.5">
      <c r="A21" s="231" t="s">
        <v>910</v>
      </c>
      <c r="B21" s="127" t="s">
        <v>905</v>
      </c>
      <c r="C21" s="128"/>
      <c r="D21" s="129"/>
      <c r="E21" s="129">
        <f>SUM(E22:E23)</f>
        <v>1254553.76</v>
      </c>
      <c r="F21" s="129">
        <f>SUM(F22:F23)</f>
        <v>1254553.76</v>
      </c>
      <c r="G21" s="427">
        <f>SUM(G22:G23)</f>
        <v>1254553.76</v>
      </c>
      <c r="H21" s="427">
        <f>SUM(H22:H23)</f>
        <v>1254553.76</v>
      </c>
    </row>
    <row r="22" spans="1:8" ht="63">
      <c r="A22" s="65" t="s">
        <v>610</v>
      </c>
      <c r="B22" s="22" t="s">
        <v>906</v>
      </c>
      <c r="C22" s="64">
        <v>200</v>
      </c>
      <c r="D22" s="98"/>
      <c r="E22" s="143">
        <v>18540.2</v>
      </c>
      <c r="F22" s="98">
        <v>18540.2</v>
      </c>
      <c r="G22" s="426">
        <v>18540.2</v>
      </c>
      <c r="H22" s="428">
        <v>18540.2</v>
      </c>
    </row>
    <row r="23" spans="1:8" ht="51" customHeight="1">
      <c r="A23" s="65" t="s">
        <v>471</v>
      </c>
      <c r="B23" s="22" t="s">
        <v>906</v>
      </c>
      <c r="C23" s="64">
        <v>300</v>
      </c>
      <c r="D23" s="98">
        <v>30000</v>
      </c>
      <c r="E23" s="143">
        <v>1236013.56</v>
      </c>
      <c r="F23" s="98">
        <v>1236013.56</v>
      </c>
      <c r="G23" s="426">
        <v>1236013.56</v>
      </c>
      <c r="H23" s="428">
        <v>1236013.56</v>
      </c>
    </row>
    <row r="24" spans="1:8" ht="31.5">
      <c r="A24" s="161" t="s">
        <v>351</v>
      </c>
      <c r="B24" s="21" t="s">
        <v>352</v>
      </c>
      <c r="C24" s="63"/>
      <c r="D24" s="104" t="e">
        <f>SUM(D28:D256)</f>
        <v>#REF!</v>
      </c>
      <c r="E24" s="104">
        <f>E25+E27+E44</f>
        <v>31200244.459999993</v>
      </c>
      <c r="F24" s="104">
        <f>F25+F27+F44</f>
        <v>31062766.529999997</v>
      </c>
      <c r="G24" s="425">
        <f>G25+G27+G44</f>
        <v>31200244.459999993</v>
      </c>
      <c r="H24" s="425">
        <f>H25+H27+H44</f>
        <v>31062766.529999997</v>
      </c>
    </row>
    <row r="25" spans="1:8" ht="47.25">
      <c r="A25" s="161" t="s">
        <v>353</v>
      </c>
      <c r="B25" s="21" t="s">
        <v>354</v>
      </c>
      <c r="C25" s="63"/>
      <c r="D25" s="104"/>
      <c r="E25" s="104">
        <f>E26</f>
        <v>1298844</v>
      </c>
      <c r="F25" s="104">
        <f>F26</f>
        <v>1298844</v>
      </c>
      <c r="G25" s="425">
        <f>G26</f>
        <v>1298844</v>
      </c>
      <c r="H25" s="425">
        <f>H26</f>
        <v>1298844</v>
      </c>
    </row>
    <row r="26" spans="1:8" ht="66.75" customHeight="1">
      <c r="A26" s="65" t="s">
        <v>355</v>
      </c>
      <c r="B26" s="22" t="s">
        <v>356</v>
      </c>
      <c r="C26" s="64">
        <v>100</v>
      </c>
      <c r="D26" s="98">
        <v>1001205</v>
      </c>
      <c r="E26" s="98">
        <v>1298844</v>
      </c>
      <c r="F26" s="98">
        <v>1298844</v>
      </c>
      <c r="G26" s="428">
        <v>1298844</v>
      </c>
      <c r="H26" s="428">
        <v>1298844</v>
      </c>
    </row>
    <row r="27" spans="1:8" ht="78.75">
      <c r="A27" s="232" t="s">
        <v>1003</v>
      </c>
      <c r="B27" s="127" t="s">
        <v>357</v>
      </c>
      <c r="C27" s="128"/>
      <c r="D27" s="129"/>
      <c r="E27" s="129">
        <f>SUM(E28:E43)</f>
        <v>29338526.059999995</v>
      </c>
      <c r="F27" s="129">
        <f>SUM(F28:F43)</f>
        <v>29216848.529999997</v>
      </c>
      <c r="G27" s="427">
        <f>SUM(G28:G43)</f>
        <v>29338526.059999995</v>
      </c>
      <c r="H27" s="427">
        <f>SUM(H28:H43)</f>
        <v>29216848.529999997</v>
      </c>
    </row>
    <row r="28" spans="1:8" ht="66" customHeight="1">
      <c r="A28" s="65" t="s">
        <v>764</v>
      </c>
      <c r="B28" s="22" t="s">
        <v>359</v>
      </c>
      <c r="C28" s="64">
        <v>100</v>
      </c>
      <c r="D28" s="98">
        <v>15078984</v>
      </c>
      <c r="E28" s="98">
        <v>19682854.39</v>
      </c>
      <c r="F28" s="98">
        <v>19682854.39</v>
      </c>
      <c r="G28" s="428">
        <v>19682854.39</v>
      </c>
      <c r="H28" s="428">
        <v>19682854.39</v>
      </c>
    </row>
    <row r="29" spans="1:8" ht="47.25">
      <c r="A29" s="65" t="s">
        <v>592</v>
      </c>
      <c r="B29" s="22" t="s">
        <v>359</v>
      </c>
      <c r="C29" s="64">
        <v>200</v>
      </c>
      <c r="D29" s="98">
        <v>5279911</v>
      </c>
      <c r="E29" s="98">
        <v>1584458.56</v>
      </c>
      <c r="F29" s="98">
        <v>1475281.03</v>
      </c>
      <c r="G29" s="428">
        <v>1584458.56</v>
      </c>
      <c r="H29" s="428">
        <v>1475281.03</v>
      </c>
    </row>
    <row r="30" spans="1:8" ht="31.5">
      <c r="A30" s="65" t="s">
        <v>1028</v>
      </c>
      <c r="B30" s="22" t="s">
        <v>359</v>
      </c>
      <c r="C30" s="64">
        <v>300</v>
      </c>
      <c r="D30" s="98"/>
      <c r="E30" s="98">
        <v>0</v>
      </c>
      <c r="F30" s="98">
        <v>0</v>
      </c>
      <c r="G30" s="428">
        <v>0</v>
      </c>
      <c r="H30" s="428">
        <v>0</v>
      </c>
    </row>
    <row r="31" spans="1:8" ht="31.5">
      <c r="A31" s="65" t="s">
        <v>358</v>
      </c>
      <c r="B31" s="22" t="s">
        <v>359</v>
      </c>
      <c r="C31" s="64">
        <v>800</v>
      </c>
      <c r="D31" s="98">
        <v>257000</v>
      </c>
      <c r="E31" s="98">
        <v>58000</v>
      </c>
      <c r="F31" s="98">
        <v>58000</v>
      </c>
      <c r="G31" s="428">
        <v>58000</v>
      </c>
      <c r="H31" s="428">
        <v>58000</v>
      </c>
    </row>
    <row r="32" spans="1:8" ht="78.75">
      <c r="A32" s="65" t="s">
        <v>983</v>
      </c>
      <c r="B32" s="22" t="s">
        <v>561</v>
      </c>
      <c r="C32" s="64">
        <v>100</v>
      </c>
      <c r="D32" s="98"/>
      <c r="E32" s="98">
        <v>489343.68</v>
      </c>
      <c r="F32" s="98">
        <v>489343.68</v>
      </c>
      <c r="G32" s="428">
        <v>489343.68</v>
      </c>
      <c r="H32" s="428">
        <v>489343.68</v>
      </c>
    </row>
    <row r="33" spans="1:8" ht="66.75" customHeight="1">
      <c r="A33" s="65" t="s">
        <v>360</v>
      </c>
      <c r="B33" s="22" t="s">
        <v>361</v>
      </c>
      <c r="C33" s="64">
        <v>100</v>
      </c>
      <c r="D33" s="98">
        <v>644418</v>
      </c>
      <c r="E33" s="98">
        <v>237904.56</v>
      </c>
      <c r="F33" s="98">
        <v>237904.56</v>
      </c>
      <c r="G33" s="428">
        <v>237904.56</v>
      </c>
      <c r="H33" s="428">
        <v>237904.56</v>
      </c>
    </row>
    <row r="34" spans="1:8" ht="47.25">
      <c r="A34" s="65" t="s">
        <v>593</v>
      </c>
      <c r="B34" s="22" t="s">
        <v>361</v>
      </c>
      <c r="C34" s="64">
        <v>200</v>
      </c>
      <c r="D34" s="98">
        <v>422600</v>
      </c>
      <c r="E34" s="98">
        <v>520479</v>
      </c>
      <c r="F34" s="98">
        <v>520479</v>
      </c>
      <c r="G34" s="428">
        <v>520479</v>
      </c>
      <c r="H34" s="428">
        <v>520479</v>
      </c>
    </row>
    <row r="35" spans="1:8" ht="31.5">
      <c r="A35" s="65" t="s">
        <v>947</v>
      </c>
      <c r="B35" s="22" t="s">
        <v>361</v>
      </c>
      <c r="C35" s="64">
        <v>300</v>
      </c>
      <c r="D35" s="98"/>
      <c r="E35" s="98">
        <v>18130</v>
      </c>
      <c r="F35" s="98">
        <v>18130</v>
      </c>
      <c r="G35" s="428">
        <v>18130</v>
      </c>
      <c r="H35" s="428">
        <v>18130</v>
      </c>
    </row>
    <row r="36" spans="1:8" ht="78.75">
      <c r="A36" s="65" t="s">
        <v>548</v>
      </c>
      <c r="B36" s="22" t="s">
        <v>363</v>
      </c>
      <c r="C36" s="64">
        <v>100</v>
      </c>
      <c r="D36" s="98">
        <v>3118930</v>
      </c>
      <c r="E36" s="250">
        <v>4278731.61</v>
      </c>
      <c r="F36" s="250">
        <v>4278731.61</v>
      </c>
      <c r="G36" s="430">
        <v>4278731.61</v>
      </c>
      <c r="H36" s="430">
        <v>4278731.61</v>
      </c>
    </row>
    <row r="37" spans="1:8" ht="47.25">
      <c r="A37" s="65" t="s">
        <v>594</v>
      </c>
      <c r="B37" s="22" t="s">
        <v>363</v>
      </c>
      <c r="C37" s="64">
        <v>200</v>
      </c>
      <c r="D37" s="98">
        <v>266570</v>
      </c>
      <c r="E37" s="143">
        <v>784950.65</v>
      </c>
      <c r="F37" s="143">
        <f>784950.65-12500</f>
        <v>772450.65</v>
      </c>
      <c r="G37" s="426">
        <v>784950.65</v>
      </c>
      <c r="H37" s="426">
        <f>784950.65-12500</f>
        <v>772450.65</v>
      </c>
    </row>
    <row r="38" spans="1:8" ht="33" customHeight="1">
      <c r="A38" s="65" t="s">
        <v>362</v>
      </c>
      <c r="B38" s="22" t="s">
        <v>363</v>
      </c>
      <c r="C38" s="64">
        <v>800</v>
      </c>
      <c r="D38" s="98"/>
      <c r="E38" s="98"/>
      <c r="F38" s="98"/>
      <c r="G38" s="428"/>
      <c r="H38" s="428"/>
    </row>
    <row r="39" spans="1:8" ht="78.75">
      <c r="A39" s="65" t="s">
        <v>568</v>
      </c>
      <c r="B39" s="22" t="s">
        <v>365</v>
      </c>
      <c r="C39" s="64">
        <v>100</v>
      </c>
      <c r="D39" s="98">
        <v>1400000</v>
      </c>
      <c r="E39" s="98">
        <v>1150297.21</v>
      </c>
      <c r="F39" s="98">
        <v>1150297.21</v>
      </c>
      <c r="G39" s="428">
        <v>1150297.21</v>
      </c>
      <c r="H39" s="428">
        <v>1150297.21</v>
      </c>
    </row>
    <row r="40" spans="1:8" ht="47.25">
      <c r="A40" s="65" t="s">
        <v>595</v>
      </c>
      <c r="B40" s="22" t="s">
        <v>365</v>
      </c>
      <c r="C40" s="64">
        <v>200</v>
      </c>
      <c r="D40" s="98"/>
      <c r="E40" s="98">
        <v>227576.4</v>
      </c>
      <c r="F40" s="98">
        <v>227576.4</v>
      </c>
      <c r="G40" s="428">
        <v>227576.4</v>
      </c>
      <c r="H40" s="428">
        <v>227576.4</v>
      </c>
    </row>
    <row r="41" spans="1:8" ht="63">
      <c r="A41" s="65" t="s">
        <v>596</v>
      </c>
      <c r="B41" s="22" t="s">
        <v>366</v>
      </c>
      <c r="C41" s="64">
        <v>200</v>
      </c>
      <c r="D41" s="98"/>
      <c r="E41" s="98"/>
      <c r="F41" s="98"/>
      <c r="G41" s="428"/>
      <c r="H41" s="428"/>
    </row>
    <row r="42" spans="1:8" ht="50.25" customHeight="1">
      <c r="A42" s="235" t="s">
        <v>621</v>
      </c>
      <c r="B42" s="22" t="s">
        <v>1352</v>
      </c>
      <c r="C42" s="64">
        <v>300</v>
      </c>
      <c r="D42" s="98"/>
      <c r="E42" s="143">
        <v>9000</v>
      </c>
      <c r="F42" s="98">
        <v>9000</v>
      </c>
      <c r="G42" s="426">
        <v>9000</v>
      </c>
      <c r="H42" s="428">
        <v>9000</v>
      </c>
    </row>
    <row r="43" spans="1:8" ht="51" customHeight="1">
      <c r="A43" s="65" t="s">
        <v>597</v>
      </c>
      <c r="B43" s="22" t="s">
        <v>367</v>
      </c>
      <c r="C43" s="64">
        <v>200</v>
      </c>
      <c r="D43" s="98">
        <v>302040</v>
      </c>
      <c r="E43" s="143">
        <v>296800</v>
      </c>
      <c r="F43" s="98">
        <v>296800</v>
      </c>
      <c r="G43" s="426">
        <v>296800</v>
      </c>
      <c r="H43" s="428">
        <v>296800</v>
      </c>
    </row>
    <row r="44" spans="1:8" ht="15.75">
      <c r="A44" s="232" t="s">
        <v>368</v>
      </c>
      <c r="B44" s="127" t="s">
        <v>369</v>
      </c>
      <c r="C44" s="128"/>
      <c r="D44" s="129"/>
      <c r="E44" s="129">
        <f>E45</f>
        <v>562874.4</v>
      </c>
      <c r="F44" s="129">
        <f>F45</f>
        <v>547074</v>
      </c>
      <c r="G44" s="427">
        <f>G45</f>
        <v>562874.4</v>
      </c>
      <c r="H44" s="427">
        <f>H45</f>
        <v>547074</v>
      </c>
    </row>
    <row r="45" spans="1:8" ht="50.25" customHeight="1">
      <c r="A45" s="65" t="s">
        <v>598</v>
      </c>
      <c r="B45" s="22" t="s">
        <v>370</v>
      </c>
      <c r="C45" s="64">
        <v>200</v>
      </c>
      <c r="D45" s="98">
        <v>400000</v>
      </c>
      <c r="E45" s="143">
        <v>562874.4</v>
      </c>
      <c r="F45" s="98">
        <v>547074</v>
      </c>
      <c r="G45" s="426">
        <v>562874.4</v>
      </c>
      <c r="H45" s="428">
        <v>547074</v>
      </c>
    </row>
    <row r="46" spans="1:8" ht="31.5">
      <c r="A46" s="232" t="s">
        <v>371</v>
      </c>
      <c r="B46" s="127" t="s">
        <v>373</v>
      </c>
      <c r="C46" s="128"/>
      <c r="D46" s="129"/>
      <c r="E46" s="129">
        <f aca="true" t="shared" si="1" ref="E46:H47">E47</f>
        <v>292660.23</v>
      </c>
      <c r="F46" s="129">
        <f t="shared" si="1"/>
        <v>190509.22</v>
      </c>
      <c r="G46" s="427">
        <f t="shared" si="1"/>
        <v>292660.23</v>
      </c>
      <c r="H46" s="427">
        <f t="shared" si="1"/>
        <v>190509.22</v>
      </c>
    </row>
    <row r="47" spans="1:8" ht="48" customHeight="1">
      <c r="A47" s="232" t="s">
        <v>372</v>
      </c>
      <c r="B47" s="127" t="s">
        <v>374</v>
      </c>
      <c r="C47" s="128"/>
      <c r="D47" s="129"/>
      <c r="E47" s="129">
        <f t="shared" si="1"/>
        <v>292660.23</v>
      </c>
      <c r="F47" s="129">
        <f t="shared" si="1"/>
        <v>190509.22</v>
      </c>
      <c r="G47" s="427">
        <f t="shared" si="1"/>
        <v>292660.23</v>
      </c>
      <c r="H47" s="427">
        <f t="shared" si="1"/>
        <v>190509.22</v>
      </c>
    </row>
    <row r="48" spans="1:8" ht="78.75" customHeight="1">
      <c r="A48" s="65" t="s">
        <v>1007</v>
      </c>
      <c r="B48" s="22" t="s">
        <v>375</v>
      </c>
      <c r="C48" s="64">
        <v>200</v>
      </c>
      <c r="D48" s="98"/>
      <c r="E48" s="143">
        <v>292660.23</v>
      </c>
      <c r="F48" s="98">
        <v>190509.22</v>
      </c>
      <c r="G48" s="426">
        <v>292660.23</v>
      </c>
      <c r="H48" s="428">
        <v>190509.22</v>
      </c>
    </row>
    <row r="49" spans="1:8" ht="31.5">
      <c r="A49" s="232" t="s">
        <v>948</v>
      </c>
      <c r="B49" s="127" t="s">
        <v>907</v>
      </c>
      <c r="C49" s="128"/>
      <c r="D49" s="98"/>
      <c r="E49" s="129">
        <f>E50</f>
        <v>7783777.76</v>
      </c>
      <c r="F49" s="129">
        <f>F50</f>
        <v>7564228.17</v>
      </c>
      <c r="G49" s="427">
        <f>G50</f>
        <v>7783777.76</v>
      </c>
      <c r="H49" s="427">
        <f>H50</f>
        <v>7564228.17</v>
      </c>
    </row>
    <row r="50" spans="1:8" ht="31.5">
      <c r="A50" s="232" t="s">
        <v>928</v>
      </c>
      <c r="B50" s="127" t="s">
        <v>908</v>
      </c>
      <c r="C50" s="128"/>
      <c r="D50" s="98"/>
      <c r="E50" s="129">
        <f>SUM(E51:E53)</f>
        <v>7783777.76</v>
      </c>
      <c r="F50" s="129">
        <f>SUM(F51:F53)</f>
        <v>7564228.17</v>
      </c>
      <c r="G50" s="427">
        <f>SUM(G51:G53)</f>
        <v>7783777.76</v>
      </c>
      <c r="H50" s="427">
        <f>SUM(H51:H53)</f>
        <v>7564228.17</v>
      </c>
    </row>
    <row r="51" spans="1:8" ht="78.75">
      <c r="A51" s="131" t="s">
        <v>974</v>
      </c>
      <c r="B51" s="23" t="s">
        <v>909</v>
      </c>
      <c r="C51" s="102">
        <v>100</v>
      </c>
      <c r="D51" s="103"/>
      <c r="E51" s="143">
        <v>3756619</v>
      </c>
      <c r="F51" s="103">
        <v>3756619</v>
      </c>
      <c r="G51" s="426">
        <v>3756619</v>
      </c>
      <c r="H51" s="429">
        <v>3756619</v>
      </c>
    </row>
    <row r="52" spans="1:8" ht="47.25">
      <c r="A52" s="131" t="s">
        <v>972</v>
      </c>
      <c r="B52" s="23" t="s">
        <v>909</v>
      </c>
      <c r="C52" s="64">
        <v>200</v>
      </c>
      <c r="D52" s="98"/>
      <c r="E52" s="143">
        <v>3895158.76</v>
      </c>
      <c r="F52" s="98">
        <v>3675609.17</v>
      </c>
      <c r="G52" s="426">
        <v>3895158.76</v>
      </c>
      <c r="H52" s="428">
        <v>3675609.17</v>
      </c>
    </row>
    <row r="53" spans="1:8" ht="31.5">
      <c r="A53" s="131" t="s">
        <v>973</v>
      </c>
      <c r="B53" s="23" t="s">
        <v>909</v>
      </c>
      <c r="C53" s="64">
        <v>800</v>
      </c>
      <c r="D53" s="98"/>
      <c r="E53" s="143">
        <v>132000</v>
      </c>
      <c r="F53" s="98">
        <v>132000</v>
      </c>
      <c r="G53" s="426">
        <v>132000</v>
      </c>
      <c r="H53" s="428">
        <v>132000</v>
      </c>
    </row>
    <row r="54" spans="1:8" ht="31.5">
      <c r="A54" s="233" t="s">
        <v>660</v>
      </c>
      <c r="B54" s="24" t="s">
        <v>378</v>
      </c>
      <c r="C54" s="230"/>
      <c r="D54" s="165">
        <f>D55</f>
        <v>-1714607.6</v>
      </c>
      <c r="E54" s="165">
        <f>E55+E64+E67</f>
        <v>8159637.800000001</v>
      </c>
      <c r="F54" s="165">
        <f>F55+F64+F67</f>
        <v>8159637.800000001</v>
      </c>
      <c r="G54" s="424">
        <f>G55+G64+G67</f>
        <v>8159637.800000001</v>
      </c>
      <c r="H54" s="424">
        <f>H55+H64+H67</f>
        <v>8159637.800000001</v>
      </c>
    </row>
    <row r="55" spans="1:8" ht="31.5">
      <c r="A55" s="231" t="s">
        <v>912</v>
      </c>
      <c r="B55" s="21" t="s">
        <v>379</v>
      </c>
      <c r="C55" s="63"/>
      <c r="D55" s="104">
        <f>SUM(D57:D62)</f>
        <v>-1714607.6</v>
      </c>
      <c r="E55" s="104">
        <f>E56</f>
        <v>8089637.800000001</v>
      </c>
      <c r="F55" s="104">
        <f>F56</f>
        <v>8089637.800000001</v>
      </c>
      <c r="G55" s="425">
        <f>G56</f>
        <v>8089637.800000001</v>
      </c>
      <c r="H55" s="425">
        <f>H56</f>
        <v>8089637.800000001</v>
      </c>
    </row>
    <row r="56" spans="1:8" ht="31.5">
      <c r="A56" s="231" t="s">
        <v>911</v>
      </c>
      <c r="B56" s="21" t="s">
        <v>380</v>
      </c>
      <c r="C56" s="63"/>
      <c r="D56" s="104"/>
      <c r="E56" s="104">
        <f>SUM(E57:E63)</f>
        <v>8089637.800000001</v>
      </c>
      <c r="F56" s="104">
        <f>SUM(F57:F63)</f>
        <v>8089637.800000001</v>
      </c>
      <c r="G56" s="425">
        <f>SUM(G57:G63)</f>
        <v>8089637.800000001</v>
      </c>
      <c r="H56" s="425">
        <f>SUM(H57:H63)</f>
        <v>8089637.800000001</v>
      </c>
    </row>
    <row r="57" spans="1:8" ht="47.25">
      <c r="A57" s="234" t="s">
        <v>913</v>
      </c>
      <c r="B57" s="22" t="s">
        <v>381</v>
      </c>
      <c r="C57" s="64">
        <v>200</v>
      </c>
      <c r="D57" s="98">
        <v>-1714607.6</v>
      </c>
      <c r="E57" s="143">
        <v>3105606.06</v>
      </c>
      <c r="F57" s="98">
        <v>3105606.06</v>
      </c>
      <c r="G57" s="426">
        <v>3105606.06</v>
      </c>
      <c r="H57" s="428">
        <v>3105606.06</v>
      </c>
    </row>
    <row r="58" spans="1:8" ht="47.25">
      <c r="A58" s="234" t="s">
        <v>914</v>
      </c>
      <c r="B58" s="22" t="s">
        <v>949</v>
      </c>
      <c r="C58" s="64">
        <v>200</v>
      </c>
      <c r="D58" s="98"/>
      <c r="E58" s="143">
        <v>4844031.74</v>
      </c>
      <c r="F58" s="98">
        <v>4844031.74</v>
      </c>
      <c r="G58" s="426">
        <v>4844031.74</v>
      </c>
      <c r="H58" s="428">
        <v>4844031.74</v>
      </c>
    </row>
    <row r="59" spans="1:8" ht="47.25">
      <c r="A59" s="234" t="s">
        <v>1258</v>
      </c>
      <c r="B59" s="22" t="s">
        <v>949</v>
      </c>
      <c r="C59" s="64">
        <v>400</v>
      </c>
      <c r="D59" s="98"/>
      <c r="E59" s="143">
        <v>0</v>
      </c>
      <c r="F59" s="98">
        <v>0</v>
      </c>
      <c r="G59" s="426">
        <v>0</v>
      </c>
      <c r="H59" s="428">
        <v>0</v>
      </c>
    </row>
    <row r="60" spans="1:8" ht="31.5">
      <c r="A60" s="234" t="s">
        <v>930</v>
      </c>
      <c r="B60" s="22" t="s">
        <v>950</v>
      </c>
      <c r="C60" s="64">
        <v>200</v>
      </c>
      <c r="D60" s="98"/>
      <c r="E60" s="143">
        <v>0</v>
      </c>
      <c r="F60" s="98">
        <v>0</v>
      </c>
      <c r="G60" s="426">
        <v>0</v>
      </c>
      <c r="H60" s="428">
        <v>0</v>
      </c>
    </row>
    <row r="61" spans="1:8" ht="47.25">
      <c r="A61" s="234" t="s">
        <v>997</v>
      </c>
      <c r="B61" s="22" t="s">
        <v>951</v>
      </c>
      <c r="C61" s="64">
        <v>200</v>
      </c>
      <c r="D61" s="98"/>
      <c r="E61" s="143">
        <v>140000</v>
      </c>
      <c r="F61" s="98">
        <v>140000</v>
      </c>
      <c r="G61" s="426">
        <v>140000</v>
      </c>
      <c r="H61" s="428">
        <v>140000</v>
      </c>
    </row>
    <row r="62" spans="1:8" ht="192" customHeight="1">
      <c r="A62" s="234" t="s">
        <v>757</v>
      </c>
      <c r="B62" s="22" t="s">
        <v>755</v>
      </c>
      <c r="C62" s="64">
        <v>500</v>
      </c>
      <c r="D62" s="98"/>
      <c r="E62" s="98">
        <v>0</v>
      </c>
      <c r="F62" s="98">
        <v>0</v>
      </c>
      <c r="G62" s="428">
        <v>0</v>
      </c>
      <c r="H62" s="428">
        <v>0</v>
      </c>
    </row>
    <row r="63" spans="1:8" ht="79.5" customHeight="1">
      <c r="A63" s="234" t="s">
        <v>1031</v>
      </c>
      <c r="B63" s="22" t="s">
        <v>1029</v>
      </c>
      <c r="C63" s="64">
        <v>200</v>
      </c>
      <c r="D63" s="98"/>
      <c r="E63" s="98"/>
      <c r="F63" s="98"/>
      <c r="G63" s="428"/>
      <c r="H63" s="428"/>
    </row>
    <row r="64" spans="1:8" ht="31.5">
      <c r="A64" s="231" t="s">
        <v>1453</v>
      </c>
      <c r="B64" s="127" t="s">
        <v>633</v>
      </c>
      <c r="C64" s="128"/>
      <c r="D64" s="129"/>
      <c r="E64" s="129">
        <f aca="true" t="shared" si="2" ref="E64:H65">E65</f>
        <v>50000</v>
      </c>
      <c r="F64" s="129">
        <f t="shared" si="2"/>
        <v>50000</v>
      </c>
      <c r="G64" s="427">
        <f t="shared" si="2"/>
        <v>50000</v>
      </c>
      <c r="H64" s="427">
        <f t="shared" si="2"/>
        <v>50000</v>
      </c>
    </row>
    <row r="65" spans="1:8" ht="21" customHeight="1">
      <c r="A65" s="231" t="s">
        <v>632</v>
      </c>
      <c r="B65" s="127" t="s">
        <v>634</v>
      </c>
      <c r="C65" s="128"/>
      <c r="D65" s="129"/>
      <c r="E65" s="129">
        <f t="shared" si="2"/>
        <v>50000</v>
      </c>
      <c r="F65" s="129">
        <f t="shared" si="2"/>
        <v>50000</v>
      </c>
      <c r="G65" s="427">
        <f t="shared" si="2"/>
        <v>50000</v>
      </c>
      <c r="H65" s="427">
        <f t="shared" si="2"/>
        <v>50000</v>
      </c>
    </row>
    <row r="66" spans="1:8" ht="31.5">
      <c r="A66" s="234" t="s">
        <v>915</v>
      </c>
      <c r="B66" s="22" t="s">
        <v>635</v>
      </c>
      <c r="C66" s="64">
        <v>200</v>
      </c>
      <c r="D66" s="98"/>
      <c r="E66" s="143">
        <v>50000</v>
      </c>
      <c r="F66" s="98">
        <v>50000</v>
      </c>
      <c r="G66" s="426">
        <v>50000</v>
      </c>
      <c r="H66" s="428">
        <v>50000</v>
      </c>
    </row>
    <row r="67" spans="1:8" ht="36.75" customHeight="1">
      <c r="A67" s="136" t="s">
        <v>1150</v>
      </c>
      <c r="B67" s="21" t="s">
        <v>1361</v>
      </c>
      <c r="C67" s="128"/>
      <c r="D67" s="98"/>
      <c r="E67" s="129">
        <f>E68</f>
        <v>20000</v>
      </c>
      <c r="F67" s="129">
        <f>F68</f>
        <v>20000</v>
      </c>
      <c r="G67" s="427">
        <f>G68</f>
        <v>20000</v>
      </c>
      <c r="H67" s="427">
        <f>H68</f>
        <v>20000</v>
      </c>
    </row>
    <row r="68" spans="1:8" ht="33" customHeight="1">
      <c r="A68" s="136" t="s">
        <v>1145</v>
      </c>
      <c r="B68" s="21" t="s">
        <v>1362</v>
      </c>
      <c r="C68" s="128"/>
      <c r="D68" s="98"/>
      <c r="E68" s="129">
        <f>E69+E70</f>
        <v>20000</v>
      </c>
      <c r="F68" s="129">
        <f>F69+F70</f>
        <v>20000</v>
      </c>
      <c r="G68" s="427">
        <f>G69+G70</f>
        <v>20000</v>
      </c>
      <c r="H68" s="427">
        <f>H69+H70</f>
        <v>20000</v>
      </c>
    </row>
    <row r="69" spans="1:8" ht="63">
      <c r="A69" s="162" t="s">
        <v>1146</v>
      </c>
      <c r="B69" s="23" t="s">
        <v>1363</v>
      </c>
      <c r="C69" s="102">
        <v>200</v>
      </c>
      <c r="D69" s="98"/>
      <c r="E69" s="103">
        <v>0</v>
      </c>
      <c r="F69" s="103">
        <v>0</v>
      </c>
      <c r="G69" s="429">
        <v>0</v>
      </c>
      <c r="H69" s="429">
        <v>0</v>
      </c>
    </row>
    <row r="70" spans="1:8" ht="78.75">
      <c r="A70" s="162" t="s">
        <v>1147</v>
      </c>
      <c r="B70" s="23" t="s">
        <v>1364</v>
      </c>
      <c r="C70" s="102">
        <v>200</v>
      </c>
      <c r="D70" s="98"/>
      <c r="E70" s="143">
        <v>20000</v>
      </c>
      <c r="F70" s="103">
        <v>20000</v>
      </c>
      <c r="G70" s="426">
        <v>20000</v>
      </c>
      <c r="H70" s="429">
        <v>20000</v>
      </c>
    </row>
    <row r="71" spans="1:8" ht="31.5">
      <c r="A71" s="160" t="s">
        <v>661</v>
      </c>
      <c r="B71" s="24" t="s">
        <v>382</v>
      </c>
      <c r="C71" s="230"/>
      <c r="D71" s="165">
        <f>D72</f>
        <v>0</v>
      </c>
      <c r="E71" s="165">
        <f>E72</f>
        <v>458000</v>
      </c>
      <c r="F71" s="165">
        <f>F72</f>
        <v>388000</v>
      </c>
      <c r="G71" s="424">
        <f>G72</f>
        <v>458000</v>
      </c>
      <c r="H71" s="424">
        <f>H72</f>
        <v>388000</v>
      </c>
    </row>
    <row r="72" spans="1:8" ht="31.5">
      <c r="A72" s="161" t="s">
        <v>383</v>
      </c>
      <c r="B72" s="21" t="s">
        <v>384</v>
      </c>
      <c r="C72" s="63"/>
      <c r="D72" s="104">
        <f>SUM(D74:D76)</f>
        <v>0</v>
      </c>
      <c r="E72" s="104">
        <f>E73+E77</f>
        <v>458000</v>
      </c>
      <c r="F72" s="104">
        <f>F73+F77</f>
        <v>388000</v>
      </c>
      <c r="G72" s="425">
        <f>G73+G77</f>
        <v>458000</v>
      </c>
      <c r="H72" s="425">
        <f>H73+H77</f>
        <v>388000</v>
      </c>
    </row>
    <row r="73" spans="1:8" ht="31.5">
      <c r="A73" s="161" t="s">
        <v>385</v>
      </c>
      <c r="B73" s="21" t="s">
        <v>386</v>
      </c>
      <c r="C73" s="63"/>
      <c r="D73" s="104"/>
      <c r="E73" s="104">
        <f>SUM(E74:E76)</f>
        <v>30000</v>
      </c>
      <c r="F73" s="104">
        <f>SUM(F74:F76)</f>
        <v>30000</v>
      </c>
      <c r="G73" s="425">
        <f>SUM(G74:G76)</f>
        <v>30000</v>
      </c>
      <c r="H73" s="425">
        <f>SUM(H74:H76)</f>
        <v>30000</v>
      </c>
    </row>
    <row r="74" spans="1:8" ht="34.5" customHeight="1">
      <c r="A74" s="65" t="s">
        <v>615</v>
      </c>
      <c r="B74" s="22" t="s">
        <v>387</v>
      </c>
      <c r="C74" s="64">
        <v>200</v>
      </c>
      <c r="D74" s="98"/>
      <c r="E74" s="143">
        <v>10000</v>
      </c>
      <c r="F74" s="98">
        <v>10000</v>
      </c>
      <c r="G74" s="426">
        <v>10000</v>
      </c>
      <c r="H74" s="428">
        <v>10000</v>
      </c>
    </row>
    <row r="75" spans="1:8" ht="47.25">
      <c r="A75" s="65" t="s">
        <v>1408</v>
      </c>
      <c r="B75" s="22" t="s">
        <v>388</v>
      </c>
      <c r="C75" s="64">
        <v>200</v>
      </c>
      <c r="D75" s="98"/>
      <c r="E75" s="143">
        <v>20000</v>
      </c>
      <c r="F75" s="98">
        <v>20000</v>
      </c>
      <c r="G75" s="426">
        <v>20000</v>
      </c>
      <c r="H75" s="428">
        <v>20000</v>
      </c>
    </row>
    <row r="76" spans="1:8" ht="47.25">
      <c r="A76" s="65" t="s">
        <v>602</v>
      </c>
      <c r="B76" s="22" t="s">
        <v>389</v>
      </c>
      <c r="C76" s="64">
        <v>200</v>
      </c>
      <c r="D76" s="98"/>
      <c r="E76" s="98">
        <v>0</v>
      </c>
      <c r="F76" s="98">
        <v>0</v>
      </c>
      <c r="G76" s="428">
        <v>0</v>
      </c>
      <c r="H76" s="428">
        <v>0</v>
      </c>
    </row>
    <row r="77" spans="1:8" ht="31.5">
      <c r="A77" s="161" t="s">
        <v>933</v>
      </c>
      <c r="B77" s="127" t="s">
        <v>931</v>
      </c>
      <c r="C77" s="128"/>
      <c r="D77" s="129"/>
      <c r="E77" s="129">
        <f>SUM(E78:E79)</f>
        <v>428000</v>
      </c>
      <c r="F77" s="129">
        <f>SUM(F78:F79)</f>
        <v>358000</v>
      </c>
      <c r="G77" s="427">
        <f>SUM(G78:G79)</f>
        <v>428000</v>
      </c>
      <c r="H77" s="427">
        <f>SUM(H78:H79)</f>
        <v>358000</v>
      </c>
    </row>
    <row r="78" spans="1:8" ht="47.25">
      <c r="A78" s="65" t="s">
        <v>630</v>
      </c>
      <c r="B78" s="22" t="s">
        <v>932</v>
      </c>
      <c r="C78" s="64">
        <v>800</v>
      </c>
      <c r="D78" s="98"/>
      <c r="E78" s="143">
        <v>258000</v>
      </c>
      <c r="F78" s="98">
        <v>258000</v>
      </c>
      <c r="G78" s="426">
        <v>258000</v>
      </c>
      <c r="H78" s="428">
        <v>258000</v>
      </c>
    </row>
    <row r="79" spans="1:8" ht="114" customHeight="1">
      <c r="A79" s="65" t="s">
        <v>1409</v>
      </c>
      <c r="B79" s="22" t="s">
        <v>952</v>
      </c>
      <c r="C79" s="64">
        <v>800</v>
      </c>
      <c r="D79" s="98"/>
      <c r="E79" s="143">
        <v>170000</v>
      </c>
      <c r="F79" s="98">
        <v>100000</v>
      </c>
      <c r="G79" s="426">
        <v>170000</v>
      </c>
      <c r="H79" s="428">
        <v>100000</v>
      </c>
    </row>
    <row r="80" spans="1:8" ht="31.5">
      <c r="A80" s="161" t="s">
        <v>1400</v>
      </c>
      <c r="B80" s="127" t="s">
        <v>1398</v>
      </c>
      <c r="C80" s="128"/>
      <c r="D80" s="104" t="e">
        <f>SUM(D83:D85)</f>
        <v>#REF!</v>
      </c>
      <c r="E80" s="104">
        <f>E81</f>
        <v>0</v>
      </c>
      <c r="F80" s="104">
        <f>F81</f>
        <v>0</v>
      </c>
      <c r="G80" s="425">
        <f>G81</f>
        <v>0</v>
      </c>
      <c r="H80" s="425">
        <f>H81</f>
        <v>0</v>
      </c>
    </row>
    <row r="81" spans="1:8" ht="31.5">
      <c r="A81" s="232" t="s">
        <v>1262</v>
      </c>
      <c r="B81" s="127" t="s">
        <v>1399</v>
      </c>
      <c r="C81" s="128"/>
      <c r="D81" s="104"/>
      <c r="E81" s="104">
        <f>E83+E82</f>
        <v>0</v>
      </c>
      <c r="F81" s="104">
        <f>F83+F82</f>
        <v>0</v>
      </c>
      <c r="G81" s="425">
        <f>G83+G82</f>
        <v>0</v>
      </c>
      <c r="H81" s="425">
        <f>H83+H82</f>
        <v>0</v>
      </c>
    </row>
    <row r="82" spans="1:8" ht="63">
      <c r="A82" s="65" t="s">
        <v>1264</v>
      </c>
      <c r="B82" s="22" t="s">
        <v>1406</v>
      </c>
      <c r="C82" s="64">
        <v>200</v>
      </c>
      <c r="D82" s="98"/>
      <c r="E82" s="98"/>
      <c r="F82" s="98">
        <v>0</v>
      </c>
      <c r="G82" s="428"/>
      <c r="H82" s="428">
        <v>0</v>
      </c>
    </row>
    <row r="83" spans="1:8" ht="78.75">
      <c r="A83" s="65" t="s">
        <v>1265</v>
      </c>
      <c r="B83" s="22" t="s">
        <v>1407</v>
      </c>
      <c r="C83" s="64">
        <v>200</v>
      </c>
      <c r="D83" s="98"/>
      <c r="E83" s="98"/>
      <c r="F83" s="98">
        <v>0</v>
      </c>
      <c r="G83" s="428"/>
      <c r="H83" s="428">
        <v>0</v>
      </c>
    </row>
    <row r="84" spans="1:8" ht="31.5">
      <c r="A84" s="226" t="s">
        <v>892</v>
      </c>
      <c r="B84" s="24" t="s">
        <v>390</v>
      </c>
      <c r="C84" s="230"/>
      <c r="D84" s="165" t="e">
        <f>D85</f>
        <v>#REF!</v>
      </c>
      <c r="E84" s="165">
        <f>E85</f>
        <v>2000</v>
      </c>
      <c r="F84" s="165">
        <f>F85</f>
        <v>23500</v>
      </c>
      <c r="G84" s="424">
        <f>G85</f>
        <v>2000</v>
      </c>
      <c r="H84" s="424">
        <f>H85</f>
        <v>23500</v>
      </c>
    </row>
    <row r="85" spans="1:8" ht="31.5">
      <c r="A85" s="136" t="s">
        <v>897</v>
      </c>
      <c r="B85" s="21" t="s">
        <v>391</v>
      </c>
      <c r="C85" s="63"/>
      <c r="D85" s="104" t="e">
        <f>SUM(#REF!)</f>
        <v>#REF!</v>
      </c>
      <c r="E85" s="104">
        <f>E86+E93+E98</f>
        <v>2000</v>
      </c>
      <c r="F85" s="104">
        <f>F86+F93+F98</f>
        <v>23500</v>
      </c>
      <c r="G85" s="425">
        <f>G86+G93+G98</f>
        <v>2000</v>
      </c>
      <c r="H85" s="425">
        <f>H86+H93+H98</f>
        <v>23500</v>
      </c>
    </row>
    <row r="86" spans="1:8" ht="31.5">
      <c r="A86" s="136" t="s">
        <v>940</v>
      </c>
      <c r="B86" s="21" t="s">
        <v>392</v>
      </c>
      <c r="C86" s="63"/>
      <c r="D86" s="104"/>
      <c r="E86" s="104">
        <f>SUM(E87:E92)</f>
        <v>0</v>
      </c>
      <c r="F86" s="104">
        <f>SUM(F87:F92)</f>
        <v>4000</v>
      </c>
      <c r="G86" s="425">
        <f>SUM(G87:G92)</f>
        <v>0</v>
      </c>
      <c r="H86" s="425">
        <f>SUM(H87:H92)</f>
        <v>4000</v>
      </c>
    </row>
    <row r="87" spans="1:8" ht="48" customHeight="1">
      <c r="A87" s="71" t="s">
        <v>896</v>
      </c>
      <c r="B87" s="22" t="s">
        <v>1365</v>
      </c>
      <c r="C87" s="64">
        <v>200</v>
      </c>
      <c r="D87" s="103"/>
      <c r="E87" s="103"/>
      <c r="F87" s="103"/>
      <c r="G87" s="429"/>
      <c r="H87" s="429"/>
    </row>
    <row r="88" spans="1:8" ht="63">
      <c r="A88" s="71" t="s">
        <v>898</v>
      </c>
      <c r="B88" s="22" t="s">
        <v>1366</v>
      </c>
      <c r="C88" s="64">
        <v>200</v>
      </c>
      <c r="D88" s="103"/>
      <c r="E88" s="103"/>
      <c r="F88" s="103"/>
      <c r="G88" s="429"/>
      <c r="H88" s="429"/>
    </row>
    <row r="89" spans="1:8" ht="46.5" customHeight="1">
      <c r="A89" s="71" t="s">
        <v>899</v>
      </c>
      <c r="B89" s="22" t="s">
        <v>1367</v>
      </c>
      <c r="C89" s="64">
        <v>200</v>
      </c>
      <c r="D89" s="103"/>
      <c r="E89" s="103"/>
      <c r="F89" s="103"/>
      <c r="G89" s="429"/>
      <c r="H89" s="429"/>
    </row>
    <row r="90" spans="1:8" ht="63">
      <c r="A90" s="71" t="s">
        <v>900</v>
      </c>
      <c r="B90" s="22" t="s">
        <v>1368</v>
      </c>
      <c r="C90" s="64">
        <v>200</v>
      </c>
      <c r="D90" s="103"/>
      <c r="E90" s="103"/>
      <c r="F90" s="103"/>
      <c r="G90" s="429"/>
      <c r="H90" s="429"/>
    </row>
    <row r="91" spans="1:8" ht="46.5" customHeight="1">
      <c r="A91" s="237" t="s">
        <v>1386</v>
      </c>
      <c r="B91" s="141" t="s">
        <v>1387</v>
      </c>
      <c r="C91" s="142">
        <v>200</v>
      </c>
      <c r="D91" s="143"/>
      <c r="E91" s="143">
        <v>0</v>
      </c>
      <c r="F91" s="143">
        <v>4000</v>
      </c>
      <c r="G91" s="426">
        <v>0</v>
      </c>
      <c r="H91" s="426">
        <v>4000</v>
      </c>
    </row>
    <row r="92" spans="1:8" ht="63">
      <c r="A92" s="71" t="s">
        <v>901</v>
      </c>
      <c r="B92" s="22" t="s">
        <v>1369</v>
      </c>
      <c r="C92" s="64">
        <v>200</v>
      </c>
      <c r="D92" s="103"/>
      <c r="E92" s="103"/>
      <c r="F92" s="103"/>
      <c r="G92" s="429"/>
      <c r="H92" s="429"/>
    </row>
    <row r="93" spans="1:8" ht="31.5">
      <c r="A93" s="136" t="s">
        <v>941</v>
      </c>
      <c r="B93" s="21" t="s">
        <v>1370</v>
      </c>
      <c r="C93" s="128"/>
      <c r="D93" s="103"/>
      <c r="E93" s="129">
        <f>E94+E95+E97</f>
        <v>0</v>
      </c>
      <c r="F93" s="129">
        <f>F94+F95+F97</f>
        <v>17500</v>
      </c>
      <c r="G93" s="427">
        <f>G94+G95+G97</f>
        <v>0</v>
      </c>
      <c r="H93" s="427">
        <f>H94+H95+H97</f>
        <v>17500</v>
      </c>
    </row>
    <row r="94" spans="1:8" ht="47.25" customHeight="1">
      <c r="A94" s="71" t="s">
        <v>944</v>
      </c>
      <c r="B94" s="22" t="s">
        <v>1371</v>
      </c>
      <c r="C94" s="64">
        <v>200</v>
      </c>
      <c r="D94" s="103"/>
      <c r="E94" s="103">
        <v>0</v>
      </c>
      <c r="F94" s="103">
        <v>0</v>
      </c>
      <c r="G94" s="429">
        <v>0</v>
      </c>
      <c r="H94" s="429">
        <v>0</v>
      </c>
    </row>
    <row r="95" spans="1:8" ht="63">
      <c r="A95" s="71" t="s">
        <v>1072</v>
      </c>
      <c r="B95" s="22" t="s">
        <v>1372</v>
      </c>
      <c r="C95" s="64">
        <v>200</v>
      </c>
      <c r="D95" s="103"/>
      <c r="E95" s="103">
        <v>0</v>
      </c>
      <c r="F95" s="103">
        <v>9000</v>
      </c>
      <c r="G95" s="429">
        <v>0</v>
      </c>
      <c r="H95" s="429">
        <v>9000</v>
      </c>
    </row>
    <row r="96" spans="1:8" ht="45.75" customHeight="1">
      <c r="A96" s="237" t="s">
        <v>1417</v>
      </c>
      <c r="B96" s="141" t="s">
        <v>1418</v>
      </c>
      <c r="C96" s="142">
        <v>200</v>
      </c>
      <c r="D96" s="103"/>
      <c r="E96" s="103">
        <v>0</v>
      </c>
      <c r="F96" s="103">
        <v>0</v>
      </c>
      <c r="G96" s="429">
        <v>0</v>
      </c>
      <c r="H96" s="429">
        <v>0</v>
      </c>
    </row>
    <row r="97" spans="1:8" ht="63">
      <c r="A97" s="237" t="s">
        <v>946</v>
      </c>
      <c r="B97" s="141" t="s">
        <v>1373</v>
      </c>
      <c r="C97" s="142">
        <v>200</v>
      </c>
      <c r="D97" s="143"/>
      <c r="E97" s="143">
        <v>0</v>
      </c>
      <c r="F97" s="143">
        <v>8500</v>
      </c>
      <c r="G97" s="426">
        <v>0</v>
      </c>
      <c r="H97" s="426">
        <v>8500</v>
      </c>
    </row>
    <row r="98" spans="1:8" ht="33.75" customHeight="1">
      <c r="A98" s="136" t="s">
        <v>942</v>
      </c>
      <c r="B98" s="21" t="s">
        <v>1374</v>
      </c>
      <c r="C98" s="128"/>
      <c r="D98" s="103"/>
      <c r="E98" s="129">
        <f>E99+E100+E101+E102</f>
        <v>2000</v>
      </c>
      <c r="F98" s="129">
        <f>F99+F100+F101+F102</f>
        <v>2000</v>
      </c>
      <c r="G98" s="427">
        <f>G99+G100+G101+G102</f>
        <v>2000</v>
      </c>
      <c r="H98" s="427">
        <f>H99+H100+H101+H102</f>
        <v>2000</v>
      </c>
    </row>
    <row r="99" spans="1:8" ht="65.25" customHeight="1">
      <c r="A99" s="71" t="s">
        <v>902</v>
      </c>
      <c r="B99" s="22" t="s">
        <v>1375</v>
      </c>
      <c r="C99" s="64">
        <v>200</v>
      </c>
      <c r="D99" s="103"/>
      <c r="E99" s="103">
        <v>0</v>
      </c>
      <c r="F99" s="103">
        <v>0</v>
      </c>
      <c r="G99" s="429">
        <v>0</v>
      </c>
      <c r="H99" s="429">
        <v>0</v>
      </c>
    </row>
    <row r="100" spans="1:8" ht="63">
      <c r="A100" s="237" t="s">
        <v>1331</v>
      </c>
      <c r="B100" s="141" t="s">
        <v>1376</v>
      </c>
      <c r="C100" s="142">
        <v>200</v>
      </c>
      <c r="D100" s="103"/>
      <c r="E100" s="98">
        <v>0</v>
      </c>
      <c r="F100" s="98">
        <v>0</v>
      </c>
      <c r="G100" s="428">
        <v>0</v>
      </c>
      <c r="H100" s="428">
        <v>0</v>
      </c>
    </row>
    <row r="101" spans="1:8" ht="60" customHeight="1">
      <c r="A101" s="237" t="s">
        <v>1335</v>
      </c>
      <c r="B101" s="141" t="s">
        <v>1377</v>
      </c>
      <c r="C101" s="142">
        <v>200</v>
      </c>
      <c r="D101" s="103"/>
      <c r="E101" s="98">
        <v>0</v>
      </c>
      <c r="F101" s="98">
        <v>0</v>
      </c>
      <c r="G101" s="428">
        <v>0</v>
      </c>
      <c r="H101" s="428">
        <v>0</v>
      </c>
    </row>
    <row r="102" spans="1:8" ht="63.75" customHeight="1">
      <c r="A102" s="237" t="s">
        <v>903</v>
      </c>
      <c r="B102" s="141" t="s">
        <v>1378</v>
      </c>
      <c r="C102" s="142">
        <v>200</v>
      </c>
      <c r="D102" s="103"/>
      <c r="E102" s="143">
        <v>2000</v>
      </c>
      <c r="F102" s="98">
        <v>2000</v>
      </c>
      <c r="G102" s="426">
        <v>2000</v>
      </c>
      <c r="H102" s="428">
        <v>2000</v>
      </c>
    </row>
    <row r="103" spans="1:8" ht="64.5" customHeight="1">
      <c r="A103" s="241" t="s">
        <v>666</v>
      </c>
      <c r="B103" s="24" t="s">
        <v>393</v>
      </c>
      <c r="C103" s="128"/>
      <c r="D103" s="129"/>
      <c r="E103" s="129">
        <f aca="true" t="shared" si="3" ref="E103:H104">E104</f>
        <v>0</v>
      </c>
      <c r="F103" s="129">
        <f t="shared" si="3"/>
        <v>0</v>
      </c>
      <c r="G103" s="427">
        <f t="shared" si="3"/>
        <v>0</v>
      </c>
      <c r="H103" s="427">
        <f t="shared" si="3"/>
        <v>0</v>
      </c>
    </row>
    <row r="104" spans="1:8" ht="47.25">
      <c r="A104" s="136" t="s">
        <v>627</v>
      </c>
      <c r="B104" s="21" t="s">
        <v>394</v>
      </c>
      <c r="C104" s="128"/>
      <c r="D104" s="129"/>
      <c r="E104" s="129">
        <f t="shared" si="3"/>
        <v>0</v>
      </c>
      <c r="F104" s="129">
        <f t="shared" si="3"/>
        <v>0</v>
      </c>
      <c r="G104" s="427">
        <f t="shared" si="3"/>
        <v>0</v>
      </c>
      <c r="H104" s="427">
        <f t="shared" si="3"/>
        <v>0</v>
      </c>
    </row>
    <row r="105" spans="1:8" ht="47.25">
      <c r="A105" s="136" t="s">
        <v>628</v>
      </c>
      <c r="B105" s="21" t="s">
        <v>395</v>
      </c>
      <c r="C105" s="128"/>
      <c r="D105" s="129"/>
      <c r="E105" s="129">
        <f>SUM(E106:E107)</f>
        <v>0</v>
      </c>
      <c r="F105" s="129">
        <f>SUM(F106:F107)</f>
        <v>0</v>
      </c>
      <c r="G105" s="427">
        <f>SUM(G106:G107)</f>
        <v>0</v>
      </c>
      <c r="H105" s="427">
        <f>SUM(H106:H107)</f>
        <v>0</v>
      </c>
    </row>
    <row r="106" spans="1:8" ht="66" customHeight="1">
      <c r="A106" s="162" t="s">
        <v>1040</v>
      </c>
      <c r="B106" s="23" t="s">
        <v>1379</v>
      </c>
      <c r="C106" s="102">
        <v>400</v>
      </c>
      <c r="D106" s="103"/>
      <c r="E106" s="103"/>
      <c r="F106" s="103"/>
      <c r="G106" s="429"/>
      <c r="H106" s="429"/>
    </row>
    <row r="107" spans="1:8" ht="63">
      <c r="A107" s="162" t="s">
        <v>1039</v>
      </c>
      <c r="B107" s="23" t="s">
        <v>1380</v>
      </c>
      <c r="C107" s="102">
        <v>400</v>
      </c>
      <c r="D107" s="103"/>
      <c r="E107" s="103"/>
      <c r="F107" s="103"/>
      <c r="G107" s="429"/>
      <c r="H107" s="429"/>
    </row>
    <row r="108" spans="1:8" ht="31.5">
      <c r="A108" s="160" t="s">
        <v>1384</v>
      </c>
      <c r="B108" s="24" t="s">
        <v>396</v>
      </c>
      <c r="C108" s="230"/>
      <c r="D108" s="165">
        <f>D109+D118</f>
        <v>442600</v>
      </c>
      <c r="E108" s="165">
        <f>E109+E118+E126</f>
        <v>11002768</v>
      </c>
      <c r="F108" s="165">
        <f>F109+F118+F126</f>
        <v>10266280</v>
      </c>
      <c r="G108" s="424">
        <f>G109+G118+G126</f>
        <v>11002768</v>
      </c>
      <c r="H108" s="424">
        <f>H109+H118+H126</f>
        <v>10266280</v>
      </c>
    </row>
    <row r="109" spans="1:8" ht="31.5">
      <c r="A109" s="161" t="s">
        <v>1410</v>
      </c>
      <c r="B109" s="21" t="s">
        <v>397</v>
      </c>
      <c r="C109" s="63"/>
      <c r="D109" s="104">
        <f>SUM(D111:D112)</f>
        <v>181000</v>
      </c>
      <c r="E109" s="104">
        <f>E110+E116</f>
        <v>4069050</v>
      </c>
      <c r="F109" s="104">
        <f>F110+F116</f>
        <v>3787224.9</v>
      </c>
      <c r="G109" s="425">
        <f>G110+G116</f>
        <v>4069050</v>
      </c>
      <c r="H109" s="425">
        <f>H110+H116</f>
        <v>3787224.9</v>
      </c>
    </row>
    <row r="110" spans="1:8" ht="31.5">
      <c r="A110" s="161" t="s">
        <v>398</v>
      </c>
      <c r="B110" s="21" t="s">
        <v>399</v>
      </c>
      <c r="C110" s="63"/>
      <c r="D110" s="104"/>
      <c r="E110" s="104">
        <f>SUM(E111:E115)</f>
        <v>3937050</v>
      </c>
      <c r="F110" s="104">
        <f>SUM(F111:F115)</f>
        <v>3655224.9</v>
      </c>
      <c r="G110" s="425">
        <f>SUM(G111:G115)</f>
        <v>3937050</v>
      </c>
      <c r="H110" s="425">
        <f>SUM(H111:H115)</f>
        <v>3655224.9</v>
      </c>
    </row>
    <row r="111" spans="1:8" ht="63">
      <c r="A111" s="65" t="s">
        <v>400</v>
      </c>
      <c r="B111" s="22" t="s">
        <v>401</v>
      </c>
      <c r="C111" s="64">
        <v>600</v>
      </c>
      <c r="D111" s="98">
        <v>-80600</v>
      </c>
      <c r="E111" s="98">
        <f>3998750-61700</f>
        <v>3937050</v>
      </c>
      <c r="F111" s="98">
        <f>3716924.9-61700</f>
        <v>3655224.9</v>
      </c>
      <c r="G111" s="428">
        <f>3998750-61700</f>
        <v>3937050</v>
      </c>
      <c r="H111" s="428">
        <f>3716924.9-61700</f>
        <v>3655224.9</v>
      </c>
    </row>
    <row r="112" spans="1:8" ht="84" customHeight="1">
      <c r="A112" s="65" t="s">
        <v>515</v>
      </c>
      <c r="B112" s="22" t="s">
        <v>402</v>
      </c>
      <c r="C112" s="64">
        <v>600</v>
      </c>
      <c r="D112" s="98">
        <v>261600</v>
      </c>
      <c r="E112" s="98"/>
      <c r="F112" s="98"/>
      <c r="G112" s="428"/>
      <c r="H112" s="428"/>
    </row>
    <row r="113" spans="1:8" ht="63">
      <c r="A113" s="235" t="s">
        <v>1172</v>
      </c>
      <c r="B113" s="22" t="s">
        <v>1174</v>
      </c>
      <c r="C113" s="64">
        <v>600</v>
      </c>
      <c r="D113" s="98"/>
      <c r="E113" s="98"/>
      <c r="F113" s="98"/>
      <c r="G113" s="428"/>
      <c r="H113" s="428"/>
    </row>
    <row r="114" spans="1:8" ht="63">
      <c r="A114" s="235" t="s">
        <v>1166</v>
      </c>
      <c r="B114" s="22" t="s">
        <v>1175</v>
      </c>
      <c r="C114" s="64">
        <v>600</v>
      </c>
      <c r="D114" s="98"/>
      <c r="E114" s="98"/>
      <c r="F114" s="98"/>
      <c r="G114" s="428"/>
      <c r="H114" s="428"/>
    </row>
    <row r="115" spans="1:8" ht="78.75">
      <c r="A115" s="65" t="s">
        <v>569</v>
      </c>
      <c r="B115" s="22" t="s">
        <v>570</v>
      </c>
      <c r="C115" s="64">
        <v>600</v>
      </c>
      <c r="D115" s="98"/>
      <c r="E115" s="98"/>
      <c r="F115" s="98"/>
      <c r="G115" s="428"/>
      <c r="H115" s="428"/>
    </row>
    <row r="116" spans="1:8" ht="33.75" customHeight="1">
      <c r="A116" s="161" t="s">
        <v>1355</v>
      </c>
      <c r="B116" s="21" t="s">
        <v>1340</v>
      </c>
      <c r="C116" s="63"/>
      <c r="D116" s="104"/>
      <c r="E116" s="104">
        <f>E117</f>
        <v>132000</v>
      </c>
      <c r="F116" s="104">
        <f>F117</f>
        <v>132000</v>
      </c>
      <c r="G116" s="425">
        <f>G117</f>
        <v>132000</v>
      </c>
      <c r="H116" s="425">
        <f>H117</f>
        <v>132000</v>
      </c>
    </row>
    <row r="117" spans="1:8" ht="50.25" customHeight="1">
      <c r="A117" s="65" t="s">
        <v>1456</v>
      </c>
      <c r="B117" s="22" t="s">
        <v>1341</v>
      </c>
      <c r="C117" s="64">
        <v>600</v>
      </c>
      <c r="D117" s="98"/>
      <c r="E117" s="98">
        <v>132000</v>
      </c>
      <c r="F117" s="98">
        <v>132000</v>
      </c>
      <c r="G117" s="428">
        <v>132000</v>
      </c>
      <c r="H117" s="428">
        <v>132000</v>
      </c>
    </row>
    <row r="118" spans="1:8" ht="31.5">
      <c r="A118" s="161" t="s">
        <v>403</v>
      </c>
      <c r="B118" s="21" t="s">
        <v>404</v>
      </c>
      <c r="C118" s="63"/>
      <c r="D118" s="104">
        <f>SUM(D120:D121)</f>
        <v>261600</v>
      </c>
      <c r="E118" s="104">
        <f>E119</f>
        <v>6807718</v>
      </c>
      <c r="F118" s="104">
        <f>F119</f>
        <v>6353055.1</v>
      </c>
      <c r="G118" s="425">
        <f>G119</f>
        <v>6807718</v>
      </c>
      <c r="H118" s="425">
        <f>H119</f>
        <v>6353055.1</v>
      </c>
    </row>
    <row r="119" spans="1:8" ht="15.75">
      <c r="A119" s="161" t="s">
        <v>406</v>
      </c>
      <c r="B119" s="21" t="s">
        <v>405</v>
      </c>
      <c r="C119" s="63"/>
      <c r="D119" s="104"/>
      <c r="E119" s="104">
        <f>SUM(E120:E125)</f>
        <v>6807718</v>
      </c>
      <c r="F119" s="104">
        <f>SUM(F120:F125)</f>
        <v>6353055.1</v>
      </c>
      <c r="G119" s="425">
        <f>SUM(G120:G125)</f>
        <v>6807718</v>
      </c>
      <c r="H119" s="425">
        <f>SUM(H120:H125)</f>
        <v>6353055.1</v>
      </c>
    </row>
    <row r="120" spans="1:8" ht="63">
      <c r="A120" s="65" t="s">
        <v>407</v>
      </c>
      <c r="B120" s="22" t="s">
        <v>408</v>
      </c>
      <c r="C120" s="64">
        <v>600</v>
      </c>
      <c r="D120" s="98"/>
      <c r="E120" s="98">
        <v>6616718</v>
      </c>
      <c r="F120" s="98">
        <v>6353055.1</v>
      </c>
      <c r="G120" s="428">
        <v>6616718</v>
      </c>
      <c r="H120" s="428">
        <v>6353055.1</v>
      </c>
    </row>
    <row r="121" spans="1:8" ht="79.5" customHeight="1">
      <c r="A121" s="65" t="s">
        <v>515</v>
      </c>
      <c r="B121" s="22" t="s">
        <v>409</v>
      </c>
      <c r="C121" s="64">
        <v>600</v>
      </c>
      <c r="D121" s="98">
        <v>261600</v>
      </c>
      <c r="E121" s="98"/>
      <c r="F121" s="98"/>
      <c r="G121" s="428"/>
      <c r="H121" s="428"/>
    </row>
    <row r="122" spans="1:8" ht="78.75">
      <c r="A122" s="65" t="s">
        <v>569</v>
      </c>
      <c r="B122" s="22" t="s">
        <v>571</v>
      </c>
      <c r="C122" s="64">
        <v>600</v>
      </c>
      <c r="D122" s="98"/>
      <c r="E122" s="98"/>
      <c r="F122" s="98"/>
      <c r="G122" s="428"/>
      <c r="H122" s="428"/>
    </row>
    <row r="123" spans="1:8" ht="63">
      <c r="A123" s="235" t="s">
        <v>1168</v>
      </c>
      <c r="B123" s="141" t="s">
        <v>1177</v>
      </c>
      <c r="C123" s="142">
        <v>600</v>
      </c>
      <c r="D123" s="98"/>
      <c r="E123" s="98">
        <v>191000</v>
      </c>
      <c r="F123" s="98"/>
      <c r="G123" s="428">
        <v>191000</v>
      </c>
      <c r="H123" s="428"/>
    </row>
    <row r="124" spans="1:8" ht="63">
      <c r="A124" s="235" t="s">
        <v>1170</v>
      </c>
      <c r="B124" s="141" t="s">
        <v>1176</v>
      </c>
      <c r="C124" s="142">
        <v>600</v>
      </c>
      <c r="D124" s="98"/>
      <c r="E124" s="98"/>
      <c r="F124" s="98"/>
      <c r="G124" s="428"/>
      <c r="H124" s="428"/>
    </row>
    <row r="125" spans="1:8" ht="47.25">
      <c r="A125" s="65" t="s">
        <v>558</v>
      </c>
      <c r="B125" s="22" t="s">
        <v>769</v>
      </c>
      <c r="C125" s="64">
        <v>600</v>
      </c>
      <c r="D125" s="98"/>
      <c r="E125" s="98"/>
      <c r="F125" s="98"/>
      <c r="G125" s="428"/>
      <c r="H125" s="428"/>
    </row>
    <row r="126" spans="1:8" ht="19.5" customHeight="1">
      <c r="A126" s="161" t="s">
        <v>1344</v>
      </c>
      <c r="B126" s="21" t="s">
        <v>1345</v>
      </c>
      <c r="C126" s="63"/>
      <c r="D126" s="98"/>
      <c r="E126" s="129">
        <f aca="true" t="shared" si="4" ref="E126:H127">E127</f>
        <v>126000</v>
      </c>
      <c r="F126" s="129">
        <f t="shared" si="4"/>
        <v>126000</v>
      </c>
      <c r="G126" s="427">
        <f t="shared" si="4"/>
        <v>126000</v>
      </c>
      <c r="H126" s="427">
        <f t="shared" si="4"/>
        <v>126000</v>
      </c>
    </row>
    <row r="127" spans="1:8" ht="18.75" customHeight="1">
      <c r="A127" s="161" t="s">
        <v>1382</v>
      </c>
      <c r="B127" s="21" t="s">
        <v>1346</v>
      </c>
      <c r="C127" s="63"/>
      <c r="D127" s="98"/>
      <c r="E127" s="129">
        <f t="shared" si="4"/>
        <v>126000</v>
      </c>
      <c r="F127" s="129">
        <f t="shared" si="4"/>
        <v>126000</v>
      </c>
      <c r="G127" s="427">
        <f t="shared" si="4"/>
        <v>126000</v>
      </c>
      <c r="H127" s="427">
        <f t="shared" si="4"/>
        <v>126000</v>
      </c>
    </row>
    <row r="128" spans="1:8" ht="34.5" customHeight="1">
      <c r="A128" s="65" t="s">
        <v>1347</v>
      </c>
      <c r="B128" s="22" t="s">
        <v>1348</v>
      </c>
      <c r="C128" s="64">
        <v>200</v>
      </c>
      <c r="D128" s="98"/>
      <c r="E128" s="143">
        <v>126000</v>
      </c>
      <c r="F128" s="98">
        <v>126000</v>
      </c>
      <c r="G128" s="426">
        <v>126000</v>
      </c>
      <c r="H128" s="428">
        <v>126000</v>
      </c>
    </row>
    <row r="129" spans="1:8" ht="47.25">
      <c r="A129" s="160" t="s">
        <v>662</v>
      </c>
      <c r="B129" s="24" t="s">
        <v>410</v>
      </c>
      <c r="C129" s="230"/>
      <c r="D129" s="165" t="e">
        <f>D130+D133+D142+#REF!</f>
        <v>#REF!</v>
      </c>
      <c r="E129" s="165">
        <f>E130+E133+E142+E145+E150+E155+E159</f>
        <v>10033460.07</v>
      </c>
      <c r="F129" s="165">
        <f>F130+F133+F142+F145+F150+F155+F159</f>
        <v>8776960.07</v>
      </c>
      <c r="G129" s="424">
        <f>G130+G133+G142+G145+G150+G155+G159</f>
        <v>12180374.07</v>
      </c>
      <c r="H129" s="424">
        <f>H130+H133+H142+H145+H150+H155+H159</f>
        <v>7411286.07</v>
      </c>
    </row>
    <row r="130" spans="1:8" ht="19.5" customHeight="1">
      <c r="A130" s="161" t="s">
        <v>411</v>
      </c>
      <c r="B130" s="21" t="s">
        <v>412</v>
      </c>
      <c r="C130" s="63"/>
      <c r="D130" s="104" t="e">
        <f>D132+#REF!+#REF!</f>
        <v>#REF!</v>
      </c>
      <c r="E130" s="104">
        <f>E131</f>
        <v>255625.06</v>
      </c>
      <c r="F130" s="104">
        <f>F131</f>
        <v>255625.06</v>
      </c>
      <c r="G130" s="425">
        <f>G131</f>
        <v>255625.06</v>
      </c>
      <c r="H130" s="425">
        <f>H131</f>
        <v>255625.06</v>
      </c>
    </row>
    <row r="131" spans="1:8" ht="36" customHeight="1">
      <c r="A131" s="161" t="s">
        <v>413</v>
      </c>
      <c r="B131" s="21" t="s">
        <v>414</v>
      </c>
      <c r="C131" s="63"/>
      <c r="D131" s="104"/>
      <c r="E131" s="104">
        <f>SUM(E132:E132)</f>
        <v>255625.06</v>
      </c>
      <c r="F131" s="104">
        <f>SUM(F132:F132)</f>
        <v>255625.06</v>
      </c>
      <c r="G131" s="425">
        <f>SUM(G132:G132)</f>
        <v>255625.06</v>
      </c>
      <c r="H131" s="425">
        <f>SUM(H132:H132)</f>
        <v>255625.06</v>
      </c>
    </row>
    <row r="132" spans="1:8" ht="47.25">
      <c r="A132" s="66" t="s">
        <v>603</v>
      </c>
      <c r="B132" s="22" t="s">
        <v>415</v>
      </c>
      <c r="C132" s="64">
        <v>200</v>
      </c>
      <c r="D132" s="98">
        <v>-220000</v>
      </c>
      <c r="E132" s="143">
        <v>255625.06</v>
      </c>
      <c r="F132" s="98">
        <v>255625.06</v>
      </c>
      <c r="G132" s="426">
        <v>255625.06</v>
      </c>
      <c r="H132" s="428">
        <v>255625.06</v>
      </c>
    </row>
    <row r="133" spans="1:8" ht="46.5" customHeight="1">
      <c r="A133" s="161" t="s">
        <v>677</v>
      </c>
      <c r="B133" s="21" t="s">
        <v>416</v>
      </c>
      <c r="C133" s="63"/>
      <c r="D133" s="104" t="e">
        <f>#REF!+D140+#REF!+#REF!+#REF!</f>
        <v>#REF!</v>
      </c>
      <c r="E133" s="104">
        <f>E134+E139</f>
        <v>2101083.39</v>
      </c>
      <c r="F133" s="104">
        <f>F134+F139</f>
        <v>844583.39</v>
      </c>
      <c r="G133" s="425">
        <f>G134+G139</f>
        <v>2101083.39</v>
      </c>
      <c r="H133" s="425">
        <f>H134+H139</f>
        <v>2101083.39</v>
      </c>
    </row>
    <row r="134" spans="1:10" ht="45" customHeight="1">
      <c r="A134" s="161" t="s">
        <v>916</v>
      </c>
      <c r="B134" s="21" t="s">
        <v>417</v>
      </c>
      <c r="C134" s="63"/>
      <c r="D134" s="104"/>
      <c r="E134" s="104">
        <f>SUM(E135:E138)</f>
        <v>501083.39</v>
      </c>
      <c r="F134" s="104">
        <f>SUM(F135:F138)</f>
        <v>501083.39</v>
      </c>
      <c r="G134" s="425">
        <f>SUM(G135:G138)</f>
        <v>501083.39</v>
      </c>
      <c r="H134" s="425">
        <f>SUM(H135:H138)</f>
        <v>501083.39</v>
      </c>
      <c r="I134" s="171"/>
      <c r="J134" s="171"/>
    </row>
    <row r="135" spans="1:10" ht="51" customHeight="1">
      <c r="A135" s="66" t="s">
        <v>668</v>
      </c>
      <c r="B135" s="23" t="s">
        <v>670</v>
      </c>
      <c r="C135" s="102">
        <v>200</v>
      </c>
      <c r="D135" s="103"/>
      <c r="E135" s="143">
        <v>261044.73</v>
      </c>
      <c r="F135" s="103">
        <v>261044.73</v>
      </c>
      <c r="G135" s="426">
        <v>261044.73</v>
      </c>
      <c r="H135" s="429">
        <v>261044.73</v>
      </c>
      <c r="I135" s="171"/>
      <c r="J135" s="171"/>
    </row>
    <row r="136" spans="1:10" ht="63">
      <c r="A136" s="66" t="s">
        <v>655</v>
      </c>
      <c r="B136" s="23" t="s">
        <v>671</v>
      </c>
      <c r="C136" s="102">
        <v>200</v>
      </c>
      <c r="D136" s="103"/>
      <c r="E136" s="143">
        <v>240038.66</v>
      </c>
      <c r="F136" s="103">
        <v>240038.66</v>
      </c>
      <c r="G136" s="426">
        <v>240038.66</v>
      </c>
      <c r="H136" s="429">
        <v>240038.66</v>
      </c>
      <c r="I136" s="171"/>
      <c r="J136" s="171"/>
    </row>
    <row r="137" spans="1:10" ht="81.75" customHeight="1">
      <c r="A137" s="66" t="s">
        <v>759</v>
      </c>
      <c r="B137" s="23" t="s">
        <v>758</v>
      </c>
      <c r="C137" s="102">
        <v>500</v>
      </c>
      <c r="D137" s="103"/>
      <c r="E137" s="103">
        <v>0</v>
      </c>
      <c r="F137" s="103">
        <v>0</v>
      </c>
      <c r="G137" s="429">
        <v>0</v>
      </c>
      <c r="H137" s="429">
        <v>0</v>
      </c>
      <c r="I137" s="171"/>
      <c r="J137" s="171"/>
    </row>
    <row r="138" spans="1:10" ht="82.5" customHeight="1">
      <c r="A138" s="66" t="s">
        <v>759</v>
      </c>
      <c r="B138" s="23" t="s">
        <v>758</v>
      </c>
      <c r="C138" s="102">
        <v>500</v>
      </c>
      <c r="D138" s="103"/>
      <c r="E138" s="103">
        <v>0</v>
      </c>
      <c r="F138" s="103">
        <v>0</v>
      </c>
      <c r="G138" s="429">
        <v>0</v>
      </c>
      <c r="H138" s="429">
        <v>0</v>
      </c>
      <c r="I138" s="171"/>
      <c r="J138" s="171"/>
    </row>
    <row r="139" spans="1:10" ht="31.5">
      <c r="A139" s="161" t="s">
        <v>917</v>
      </c>
      <c r="B139" s="21" t="s">
        <v>918</v>
      </c>
      <c r="C139" s="63"/>
      <c r="D139" s="104"/>
      <c r="E139" s="104">
        <f>SUM(E140:E141)</f>
        <v>1600000</v>
      </c>
      <c r="F139" s="104">
        <f>SUM(F140:F141)</f>
        <v>343500</v>
      </c>
      <c r="G139" s="425">
        <f>SUM(G140:G141)</f>
        <v>1600000</v>
      </c>
      <c r="H139" s="425">
        <f>SUM(H140:H141)</f>
        <v>1600000</v>
      </c>
      <c r="I139" s="171"/>
      <c r="J139" s="171"/>
    </row>
    <row r="140" spans="1:10" ht="47.25">
      <c r="A140" s="66" t="s">
        <v>604</v>
      </c>
      <c r="B140" s="23" t="s">
        <v>919</v>
      </c>
      <c r="C140" s="102">
        <v>200</v>
      </c>
      <c r="D140" s="103"/>
      <c r="E140" s="143">
        <v>115836</v>
      </c>
      <c r="F140" s="103">
        <v>115836</v>
      </c>
      <c r="G140" s="426">
        <v>115836</v>
      </c>
      <c r="H140" s="429">
        <v>115836</v>
      </c>
      <c r="I140" s="171"/>
      <c r="J140" s="171"/>
    </row>
    <row r="141" spans="1:8" ht="63" customHeight="1">
      <c r="A141" s="71" t="s">
        <v>667</v>
      </c>
      <c r="B141" s="22" t="s">
        <v>920</v>
      </c>
      <c r="C141" s="64">
        <v>200</v>
      </c>
      <c r="D141" s="98"/>
      <c r="E141" s="143">
        <v>1484164</v>
      </c>
      <c r="F141" s="98">
        <v>227664</v>
      </c>
      <c r="G141" s="426">
        <v>1484164</v>
      </c>
      <c r="H141" s="428">
        <v>1484164</v>
      </c>
    </row>
    <row r="142" spans="1:8" ht="31.5">
      <c r="A142" s="161" t="s">
        <v>679</v>
      </c>
      <c r="B142" s="21" t="s">
        <v>418</v>
      </c>
      <c r="C142" s="63"/>
      <c r="D142" s="104" t="e">
        <f>SUM(#REF!)</f>
        <v>#REF!</v>
      </c>
      <c r="E142" s="104">
        <f>E143</f>
        <v>0</v>
      </c>
      <c r="F142" s="104">
        <f>F143</f>
        <v>0</v>
      </c>
      <c r="G142" s="425">
        <f>G143</f>
        <v>0</v>
      </c>
      <c r="H142" s="425">
        <f>H143</f>
        <v>0</v>
      </c>
    </row>
    <row r="143" spans="1:8" ht="15.75">
      <c r="A143" s="161" t="s">
        <v>420</v>
      </c>
      <c r="B143" s="21" t="s">
        <v>419</v>
      </c>
      <c r="C143" s="63"/>
      <c r="D143" s="104"/>
      <c r="E143" s="104">
        <f>SUM(E144:E144)</f>
        <v>0</v>
      </c>
      <c r="F143" s="104">
        <f>SUM(F144:F144)</f>
        <v>0</v>
      </c>
      <c r="G143" s="425">
        <f>SUM(G144:G144)</f>
        <v>0</v>
      </c>
      <c r="H143" s="425">
        <f>SUM(H144:H144)</f>
        <v>0</v>
      </c>
    </row>
    <row r="144" spans="1:8" ht="47.25">
      <c r="A144" s="66" t="s">
        <v>1006</v>
      </c>
      <c r="B144" s="23" t="s">
        <v>1011</v>
      </c>
      <c r="C144" s="102">
        <v>300</v>
      </c>
      <c r="D144" s="103"/>
      <c r="E144" s="103">
        <v>0</v>
      </c>
      <c r="F144" s="103">
        <v>0</v>
      </c>
      <c r="G144" s="429">
        <v>0</v>
      </c>
      <c r="H144" s="429">
        <v>0</v>
      </c>
    </row>
    <row r="145" spans="1:8" ht="31.5">
      <c r="A145" s="161" t="s">
        <v>934</v>
      </c>
      <c r="B145" s="21" t="s">
        <v>651</v>
      </c>
      <c r="C145" s="63"/>
      <c r="D145" s="104">
        <f>SUM(D147:D148)</f>
        <v>223500</v>
      </c>
      <c r="E145" s="104">
        <f>E146</f>
        <v>2978103.62</v>
      </c>
      <c r="F145" s="104">
        <f>F146</f>
        <v>2978103.62</v>
      </c>
      <c r="G145" s="425">
        <f>G146</f>
        <v>2978103.62</v>
      </c>
      <c r="H145" s="425">
        <f>H146</f>
        <v>2978103.62</v>
      </c>
    </row>
    <row r="146" spans="1:8" ht="33" customHeight="1">
      <c r="A146" s="161" t="s">
        <v>678</v>
      </c>
      <c r="B146" s="21" t="s">
        <v>652</v>
      </c>
      <c r="C146" s="63"/>
      <c r="D146" s="104"/>
      <c r="E146" s="104">
        <f>SUM(E147:E149)</f>
        <v>2978103.62</v>
      </c>
      <c r="F146" s="104">
        <f>SUM(F147:F149)</f>
        <v>2978103.62</v>
      </c>
      <c r="G146" s="425">
        <f>SUM(G147:G149)</f>
        <v>2978103.62</v>
      </c>
      <c r="H146" s="425">
        <f>SUM(H147:H149)</f>
        <v>2978103.62</v>
      </c>
    </row>
    <row r="147" spans="1:8" ht="47.25">
      <c r="A147" s="65" t="s">
        <v>1069</v>
      </c>
      <c r="B147" s="22" t="s">
        <v>672</v>
      </c>
      <c r="C147" s="64">
        <v>200</v>
      </c>
      <c r="D147" s="98">
        <v>223500</v>
      </c>
      <c r="E147" s="143">
        <v>1546853.1</v>
      </c>
      <c r="F147" s="98">
        <v>1546853.1</v>
      </c>
      <c r="G147" s="426">
        <v>1546853.1</v>
      </c>
      <c r="H147" s="428">
        <v>1546853.1</v>
      </c>
    </row>
    <row r="148" spans="1:8" ht="47.25">
      <c r="A148" s="65" t="s">
        <v>648</v>
      </c>
      <c r="B148" s="22" t="s">
        <v>673</v>
      </c>
      <c r="C148" s="64">
        <v>200</v>
      </c>
      <c r="D148" s="98"/>
      <c r="E148" s="143">
        <v>1235573.6</v>
      </c>
      <c r="F148" s="98">
        <v>1235573.6</v>
      </c>
      <c r="G148" s="426">
        <v>1235573.6</v>
      </c>
      <c r="H148" s="428">
        <v>1235573.6</v>
      </c>
    </row>
    <row r="149" spans="1:8" ht="63">
      <c r="A149" s="166" t="s">
        <v>1074</v>
      </c>
      <c r="B149" s="22" t="s">
        <v>1143</v>
      </c>
      <c r="C149" s="64">
        <v>800</v>
      </c>
      <c r="D149" s="98"/>
      <c r="E149" s="143">
        <v>195676.92</v>
      </c>
      <c r="F149" s="98">
        <v>195676.92</v>
      </c>
      <c r="G149" s="426">
        <v>195676.92</v>
      </c>
      <c r="H149" s="428">
        <v>195676.92</v>
      </c>
    </row>
    <row r="150" spans="1:8" ht="36.75" customHeight="1">
      <c r="A150" s="161" t="s">
        <v>669</v>
      </c>
      <c r="B150" s="21" t="s">
        <v>653</v>
      </c>
      <c r="C150" s="63"/>
      <c r="D150" s="104">
        <f>SUM(D162:D163)</f>
        <v>0</v>
      </c>
      <c r="E150" s="104">
        <f>E151</f>
        <v>404820</v>
      </c>
      <c r="F150" s="104">
        <f>F151</f>
        <v>404820</v>
      </c>
      <c r="G150" s="425">
        <f>G151</f>
        <v>404820</v>
      </c>
      <c r="H150" s="425">
        <f>H151</f>
        <v>404820</v>
      </c>
    </row>
    <row r="151" spans="1:8" ht="31.5">
      <c r="A151" s="161" t="s">
        <v>658</v>
      </c>
      <c r="B151" s="21" t="s">
        <v>654</v>
      </c>
      <c r="C151" s="63"/>
      <c r="D151" s="104"/>
      <c r="E151" s="104">
        <f>E152+E153+E154</f>
        <v>404820</v>
      </c>
      <c r="F151" s="104">
        <f>F152+F153+F154</f>
        <v>404820</v>
      </c>
      <c r="G151" s="425">
        <f>G152+G153+G154</f>
        <v>404820</v>
      </c>
      <c r="H151" s="425">
        <f>H152+H153+H154</f>
        <v>404820</v>
      </c>
    </row>
    <row r="152" spans="1:8" s="194" customFormat="1" ht="47.25">
      <c r="A152" s="66" t="s">
        <v>656</v>
      </c>
      <c r="B152" s="141" t="s">
        <v>674</v>
      </c>
      <c r="C152" s="142">
        <v>200</v>
      </c>
      <c r="D152" s="143"/>
      <c r="E152" s="143">
        <v>0</v>
      </c>
      <c r="F152" s="143">
        <v>0</v>
      </c>
      <c r="G152" s="426">
        <v>0</v>
      </c>
      <c r="H152" s="426">
        <v>0</v>
      </c>
    </row>
    <row r="153" spans="1:8" s="194" customFormat="1" ht="78.75">
      <c r="A153" s="66" t="s">
        <v>745</v>
      </c>
      <c r="B153" s="141" t="s">
        <v>744</v>
      </c>
      <c r="C153" s="142">
        <v>500</v>
      </c>
      <c r="D153" s="143"/>
      <c r="E153" s="143">
        <v>0</v>
      </c>
      <c r="F153" s="143">
        <v>0</v>
      </c>
      <c r="G153" s="426">
        <v>0</v>
      </c>
      <c r="H153" s="426">
        <v>0</v>
      </c>
    </row>
    <row r="154" spans="1:8" s="194" customFormat="1" ht="63">
      <c r="A154" s="166" t="s">
        <v>921</v>
      </c>
      <c r="B154" s="141" t="s">
        <v>675</v>
      </c>
      <c r="C154" s="142">
        <v>200</v>
      </c>
      <c r="D154" s="143"/>
      <c r="E154" s="143">
        <v>404820</v>
      </c>
      <c r="F154" s="143">
        <v>404820</v>
      </c>
      <c r="G154" s="426">
        <v>404820</v>
      </c>
      <c r="H154" s="426">
        <v>404820</v>
      </c>
    </row>
    <row r="155" spans="1:8" s="194" customFormat="1" ht="36" customHeight="1">
      <c r="A155" s="161" t="s">
        <v>975</v>
      </c>
      <c r="B155" s="21" t="s">
        <v>935</v>
      </c>
      <c r="C155" s="128"/>
      <c r="D155" s="129"/>
      <c r="E155" s="129">
        <f>E156</f>
        <v>0</v>
      </c>
      <c r="F155" s="129">
        <f>F156</f>
        <v>0</v>
      </c>
      <c r="G155" s="427">
        <f>G156</f>
        <v>0</v>
      </c>
      <c r="H155" s="427">
        <f>H156</f>
        <v>0</v>
      </c>
    </row>
    <row r="156" spans="1:8" s="194" customFormat="1" ht="32.25" customHeight="1">
      <c r="A156" s="161" t="s">
        <v>976</v>
      </c>
      <c r="B156" s="21" t="s">
        <v>936</v>
      </c>
      <c r="C156" s="128"/>
      <c r="D156" s="129"/>
      <c r="E156" s="129">
        <f>E157+E158</f>
        <v>0</v>
      </c>
      <c r="F156" s="129">
        <f>F157+F158</f>
        <v>0</v>
      </c>
      <c r="G156" s="427">
        <f>G157+G158</f>
        <v>0</v>
      </c>
      <c r="H156" s="427">
        <f>H157+H158</f>
        <v>0</v>
      </c>
    </row>
    <row r="157" spans="1:8" s="194" customFormat="1" ht="47.25">
      <c r="A157" s="166" t="s">
        <v>977</v>
      </c>
      <c r="B157" s="141" t="s">
        <v>978</v>
      </c>
      <c r="C157" s="142">
        <v>200</v>
      </c>
      <c r="D157" s="143"/>
      <c r="E157" s="143"/>
      <c r="F157" s="143"/>
      <c r="G157" s="426"/>
      <c r="H157" s="426"/>
    </row>
    <row r="158" spans="1:8" s="194" customFormat="1" ht="47.25">
      <c r="A158" s="166" t="s">
        <v>1019</v>
      </c>
      <c r="B158" s="141" t="s">
        <v>1054</v>
      </c>
      <c r="C158" s="142">
        <v>200</v>
      </c>
      <c r="D158" s="143"/>
      <c r="E158" s="143"/>
      <c r="F158" s="143"/>
      <c r="G158" s="426"/>
      <c r="H158" s="426"/>
    </row>
    <row r="159" spans="1:8" s="194" customFormat="1" ht="47.25">
      <c r="A159" s="161" t="s">
        <v>1115</v>
      </c>
      <c r="B159" s="21" t="s">
        <v>1116</v>
      </c>
      <c r="C159" s="128"/>
      <c r="D159" s="143"/>
      <c r="E159" s="129">
        <f aca="true" t="shared" si="5" ref="E159:H160">E160</f>
        <v>4293828</v>
      </c>
      <c r="F159" s="129">
        <f t="shared" si="5"/>
        <v>4293828</v>
      </c>
      <c r="G159" s="427">
        <f t="shared" si="5"/>
        <v>6440742</v>
      </c>
      <c r="H159" s="427">
        <f t="shared" si="5"/>
        <v>1671654</v>
      </c>
    </row>
    <row r="160" spans="1:8" s="194" customFormat="1" ht="47.25" customHeight="1">
      <c r="A160" s="161" t="s">
        <v>1117</v>
      </c>
      <c r="B160" s="21" t="s">
        <v>1118</v>
      </c>
      <c r="C160" s="128"/>
      <c r="D160" s="143"/>
      <c r="E160" s="129">
        <f t="shared" si="5"/>
        <v>4293828</v>
      </c>
      <c r="F160" s="129">
        <f t="shared" si="5"/>
        <v>4293828</v>
      </c>
      <c r="G160" s="427">
        <f t="shared" si="5"/>
        <v>6440742</v>
      </c>
      <c r="H160" s="427">
        <f t="shared" si="5"/>
        <v>1671654</v>
      </c>
    </row>
    <row r="161" spans="1:8" s="194" customFormat="1" ht="69" customHeight="1">
      <c r="A161" s="166" t="s">
        <v>1070</v>
      </c>
      <c r="B161" s="141" t="s">
        <v>1241</v>
      </c>
      <c r="C161" s="142">
        <v>400</v>
      </c>
      <c r="D161" s="143"/>
      <c r="E161" s="143">
        <v>4293828</v>
      </c>
      <c r="F161" s="143">
        <v>4293828</v>
      </c>
      <c r="G161" s="426">
        <v>6440742</v>
      </c>
      <c r="H161" s="426">
        <v>1671654</v>
      </c>
    </row>
    <row r="162" spans="1:8" ht="31.5">
      <c r="A162" s="160" t="s">
        <v>663</v>
      </c>
      <c r="B162" s="24" t="s">
        <v>421</v>
      </c>
      <c r="C162" s="230"/>
      <c r="D162" s="165">
        <f>D163+D166</f>
        <v>0</v>
      </c>
      <c r="E162" s="165">
        <f>E163+E166</f>
        <v>863721</v>
      </c>
      <c r="F162" s="165">
        <f>F163+F166</f>
        <v>450000</v>
      </c>
      <c r="G162" s="424">
        <f>G163+G166</f>
        <v>863721</v>
      </c>
      <c r="H162" s="424">
        <f>H163+H166</f>
        <v>450000</v>
      </c>
    </row>
    <row r="163" spans="1:8" ht="31.5">
      <c r="A163" s="161" t="s">
        <v>680</v>
      </c>
      <c r="B163" s="21" t="s">
        <v>422</v>
      </c>
      <c r="C163" s="63"/>
      <c r="D163" s="104">
        <f>D165</f>
        <v>0</v>
      </c>
      <c r="E163" s="104">
        <f aca="true" t="shared" si="6" ref="E163:H164">E164</f>
        <v>250000</v>
      </c>
      <c r="F163" s="104">
        <f t="shared" si="6"/>
        <v>250000</v>
      </c>
      <c r="G163" s="425">
        <f t="shared" si="6"/>
        <v>250000</v>
      </c>
      <c r="H163" s="425">
        <f t="shared" si="6"/>
        <v>250000</v>
      </c>
    </row>
    <row r="164" spans="1:8" ht="20.25" customHeight="1">
      <c r="A164" s="161" t="s">
        <v>427</v>
      </c>
      <c r="B164" s="21" t="s">
        <v>423</v>
      </c>
      <c r="C164" s="63"/>
      <c r="D164" s="104"/>
      <c r="E164" s="104">
        <f t="shared" si="6"/>
        <v>250000</v>
      </c>
      <c r="F164" s="104">
        <f t="shared" si="6"/>
        <v>250000</v>
      </c>
      <c r="G164" s="425">
        <f t="shared" si="6"/>
        <v>250000</v>
      </c>
      <c r="H164" s="425">
        <f t="shared" si="6"/>
        <v>250000</v>
      </c>
    </row>
    <row r="165" spans="1:8" ht="63">
      <c r="A165" s="65" t="s">
        <v>676</v>
      </c>
      <c r="B165" s="22" t="s">
        <v>424</v>
      </c>
      <c r="C165" s="64">
        <v>200</v>
      </c>
      <c r="D165" s="98"/>
      <c r="E165" s="143">
        <v>250000</v>
      </c>
      <c r="F165" s="98">
        <v>250000</v>
      </c>
      <c r="G165" s="426">
        <v>250000</v>
      </c>
      <c r="H165" s="428">
        <v>250000</v>
      </c>
    </row>
    <row r="166" spans="1:8" ht="31.5">
      <c r="A166" s="161" t="s">
        <v>681</v>
      </c>
      <c r="B166" s="21" t="s">
        <v>425</v>
      </c>
      <c r="C166" s="63"/>
      <c r="D166" s="104">
        <f>D168</f>
        <v>0</v>
      </c>
      <c r="E166" s="104">
        <f>E167</f>
        <v>613721</v>
      </c>
      <c r="F166" s="104">
        <f>F167</f>
        <v>200000</v>
      </c>
      <c r="G166" s="425">
        <f>G167</f>
        <v>613721</v>
      </c>
      <c r="H166" s="425">
        <f>H167</f>
        <v>200000</v>
      </c>
    </row>
    <row r="167" spans="1:8" ht="31.5">
      <c r="A167" s="161" t="s">
        <v>923</v>
      </c>
      <c r="B167" s="21" t="s">
        <v>426</v>
      </c>
      <c r="C167" s="63"/>
      <c r="D167" s="104"/>
      <c r="E167" s="104">
        <f>E168+E169</f>
        <v>613721</v>
      </c>
      <c r="F167" s="104">
        <f>F168+F169</f>
        <v>200000</v>
      </c>
      <c r="G167" s="425">
        <f>G168+G169</f>
        <v>613721</v>
      </c>
      <c r="H167" s="425">
        <f>H168+H169</f>
        <v>200000</v>
      </c>
    </row>
    <row r="168" spans="1:8" ht="48.75" customHeight="1">
      <c r="A168" s="65" t="s">
        <v>924</v>
      </c>
      <c r="B168" s="22" t="s">
        <v>428</v>
      </c>
      <c r="C168" s="64">
        <v>200</v>
      </c>
      <c r="D168" s="98"/>
      <c r="E168" s="143">
        <v>164120</v>
      </c>
      <c r="F168" s="98">
        <v>125000</v>
      </c>
      <c r="G168" s="426">
        <v>164120</v>
      </c>
      <c r="H168" s="428">
        <v>125000</v>
      </c>
    </row>
    <row r="169" spans="1:8" ht="47.25">
      <c r="A169" s="65" t="s">
        <v>925</v>
      </c>
      <c r="B169" s="22" t="s">
        <v>927</v>
      </c>
      <c r="C169" s="64">
        <v>200</v>
      </c>
      <c r="D169" s="98"/>
      <c r="E169" s="143">
        <v>449601</v>
      </c>
      <c r="F169" s="98">
        <v>75000</v>
      </c>
      <c r="G169" s="426">
        <v>449601</v>
      </c>
      <c r="H169" s="428">
        <v>75000</v>
      </c>
    </row>
    <row r="170" spans="1:8" ht="31.5">
      <c r="A170" s="160" t="s">
        <v>664</v>
      </c>
      <c r="B170" s="24" t="s">
        <v>429</v>
      </c>
      <c r="C170" s="230"/>
      <c r="D170" s="165" t="e">
        <f>D171+D184+D210</f>
        <v>#REF!</v>
      </c>
      <c r="E170" s="165">
        <f>E171+E184+E210</f>
        <v>209061409.67000002</v>
      </c>
      <c r="F170" s="165">
        <f>F171+F184+F210</f>
        <v>209061409.67000002</v>
      </c>
      <c r="G170" s="424">
        <f>G171+G184+G210</f>
        <v>209061409.67000002</v>
      </c>
      <c r="H170" s="424">
        <f>H171+H184+H210</f>
        <v>209061409.67000002</v>
      </c>
    </row>
    <row r="171" spans="1:8" ht="18.75" customHeight="1">
      <c r="A171" s="161" t="s">
        <v>430</v>
      </c>
      <c r="B171" s="21" t="s">
        <v>431</v>
      </c>
      <c r="C171" s="63"/>
      <c r="D171" s="104">
        <f>SUM(D173:D183)</f>
        <v>5093368</v>
      </c>
      <c r="E171" s="104">
        <f>E172</f>
        <v>80272896.34</v>
      </c>
      <c r="F171" s="104">
        <f>F172</f>
        <v>80272896.34</v>
      </c>
      <c r="G171" s="425">
        <f>G172</f>
        <v>80272896.34</v>
      </c>
      <c r="H171" s="425">
        <f>H172</f>
        <v>80272896.34</v>
      </c>
    </row>
    <row r="172" spans="1:8" ht="39" customHeight="1">
      <c r="A172" s="161" t="s">
        <v>937</v>
      </c>
      <c r="B172" s="21" t="s">
        <v>432</v>
      </c>
      <c r="C172" s="63"/>
      <c r="D172" s="104"/>
      <c r="E172" s="104">
        <f>SUM(E173:E183)</f>
        <v>80272896.34</v>
      </c>
      <c r="F172" s="104">
        <f>SUM(F173:F183)</f>
        <v>80272896.34</v>
      </c>
      <c r="G172" s="425">
        <f>SUM(G173:G183)</f>
        <v>80272896.34</v>
      </c>
      <c r="H172" s="425">
        <f>SUM(H173:H183)</f>
        <v>80272896.34</v>
      </c>
    </row>
    <row r="173" spans="1:8" ht="65.25" customHeight="1">
      <c r="A173" s="65" t="s">
        <v>433</v>
      </c>
      <c r="B173" s="22" t="s">
        <v>434</v>
      </c>
      <c r="C173" s="64">
        <v>600</v>
      </c>
      <c r="D173" s="98">
        <v>500000</v>
      </c>
      <c r="E173" s="143">
        <v>3743425.6</v>
      </c>
      <c r="F173" s="98">
        <v>3743425.6</v>
      </c>
      <c r="G173" s="426">
        <v>3743425.6</v>
      </c>
      <c r="H173" s="428">
        <v>3743425.6</v>
      </c>
    </row>
    <row r="174" spans="1:8" ht="99" customHeight="1">
      <c r="A174" s="65" t="s">
        <v>702</v>
      </c>
      <c r="B174" s="22" t="s">
        <v>710</v>
      </c>
      <c r="C174" s="64">
        <v>600</v>
      </c>
      <c r="D174" s="98"/>
      <c r="E174" s="143">
        <v>11006249.37</v>
      </c>
      <c r="F174" s="98">
        <v>11006249.37</v>
      </c>
      <c r="G174" s="426">
        <v>11006249.37</v>
      </c>
      <c r="H174" s="428">
        <v>11006249.37</v>
      </c>
    </row>
    <row r="175" spans="1:8" ht="66" customHeight="1">
      <c r="A175" s="235" t="s">
        <v>1161</v>
      </c>
      <c r="B175" s="22" t="s">
        <v>1156</v>
      </c>
      <c r="C175" s="64">
        <v>600</v>
      </c>
      <c r="D175" s="98"/>
      <c r="E175" s="143">
        <v>50000</v>
      </c>
      <c r="F175" s="98">
        <v>50000</v>
      </c>
      <c r="G175" s="426">
        <v>50000</v>
      </c>
      <c r="H175" s="428">
        <v>50000</v>
      </c>
    </row>
    <row r="176" spans="1:8" ht="78.75">
      <c r="A176" s="65" t="s">
        <v>1385</v>
      </c>
      <c r="B176" s="22" t="s">
        <v>711</v>
      </c>
      <c r="C176" s="64">
        <v>600</v>
      </c>
      <c r="D176" s="98"/>
      <c r="E176" s="143">
        <v>7189583.41</v>
      </c>
      <c r="F176" s="98">
        <v>7189583.41</v>
      </c>
      <c r="G176" s="426">
        <v>7189583.41</v>
      </c>
      <c r="H176" s="428">
        <v>7189583.41</v>
      </c>
    </row>
    <row r="177" spans="1:8" ht="78.75">
      <c r="A177" s="65" t="s">
        <v>705</v>
      </c>
      <c r="B177" s="22" t="s">
        <v>712</v>
      </c>
      <c r="C177" s="64">
        <v>600</v>
      </c>
      <c r="D177" s="98"/>
      <c r="E177" s="98"/>
      <c r="F177" s="98"/>
      <c r="G177" s="428"/>
      <c r="H177" s="428"/>
    </row>
    <row r="178" spans="1:8" ht="86.25" customHeight="1">
      <c r="A178" s="65" t="s">
        <v>704</v>
      </c>
      <c r="B178" s="22" t="s">
        <v>713</v>
      </c>
      <c r="C178" s="64">
        <v>600</v>
      </c>
      <c r="D178" s="98"/>
      <c r="E178" s="143">
        <v>6085290.54</v>
      </c>
      <c r="F178" s="98">
        <v>6085290.54</v>
      </c>
      <c r="G178" s="426">
        <v>6085290.54</v>
      </c>
      <c r="H178" s="428">
        <v>6085290.54</v>
      </c>
    </row>
    <row r="179" spans="1:8" ht="63">
      <c r="A179" s="65" t="s">
        <v>435</v>
      </c>
      <c r="B179" s="22" t="s">
        <v>436</v>
      </c>
      <c r="C179" s="64">
        <v>600</v>
      </c>
      <c r="D179" s="98"/>
      <c r="E179" s="143">
        <v>5906304.72</v>
      </c>
      <c r="F179" s="98">
        <v>5906304.72</v>
      </c>
      <c r="G179" s="426">
        <v>5906304.72</v>
      </c>
      <c r="H179" s="428">
        <v>5906304.72</v>
      </c>
    </row>
    <row r="180" spans="1:8" ht="83.25" customHeight="1">
      <c r="A180" s="65" t="s">
        <v>1042</v>
      </c>
      <c r="B180" s="22" t="s">
        <v>1041</v>
      </c>
      <c r="C180" s="64">
        <v>600</v>
      </c>
      <c r="D180" s="98"/>
      <c r="E180" s="98"/>
      <c r="F180" s="98"/>
      <c r="G180" s="428"/>
      <c r="H180" s="428"/>
    </row>
    <row r="181" spans="1:8" ht="126" customHeight="1">
      <c r="A181" s="238" t="s">
        <v>730</v>
      </c>
      <c r="B181" s="22" t="s">
        <v>438</v>
      </c>
      <c r="C181" s="64">
        <v>600</v>
      </c>
      <c r="D181" s="98">
        <v>-875880</v>
      </c>
      <c r="E181" s="98">
        <v>293256</v>
      </c>
      <c r="F181" s="98">
        <v>293256</v>
      </c>
      <c r="G181" s="428">
        <v>293256</v>
      </c>
      <c r="H181" s="428">
        <v>293256</v>
      </c>
    </row>
    <row r="182" spans="1:8" ht="78" customHeight="1">
      <c r="A182" s="286" t="s">
        <v>729</v>
      </c>
      <c r="B182" s="22" t="s">
        <v>1360</v>
      </c>
      <c r="C182" s="64">
        <v>300</v>
      </c>
      <c r="D182" s="98"/>
      <c r="E182" s="143">
        <v>1130892.7</v>
      </c>
      <c r="F182" s="143">
        <v>1130892.7</v>
      </c>
      <c r="G182" s="426">
        <v>1130892.7</v>
      </c>
      <c r="H182" s="426">
        <v>1130892.7</v>
      </c>
    </row>
    <row r="183" spans="1:8" ht="126.75" customHeight="1">
      <c r="A183" s="71" t="s">
        <v>1394</v>
      </c>
      <c r="B183" s="22" t="s">
        <v>439</v>
      </c>
      <c r="C183" s="64">
        <v>600</v>
      </c>
      <c r="D183" s="98">
        <v>5469248</v>
      </c>
      <c r="E183" s="98">
        <v>44867894</v>
      </c>
      <c r="F183" s="98">
        <v>44867894</v>
      </c>
      <c r="G183" s="428">
        <v>44867894</v>
      </c>
      <c r="H183" s="428">
        <v>44867894</v>
      </c>
    </row>
    <row r="184" spans="1:8" ht="31.5">
      <c r="A184" s="136" t="s">
        <v>440</v>
      </c>
      <c r="B184" s="21" t="s">
        <v>441</v>
      </c>
      <c r="C184" s="63"/>
      <c r="D184" s="104">
        <f>SUM(D186:D206)</f>
        <v>987111</v>
      </c>
      <c r="E184" s="104">
        <f>E185+E207</f>
        <v>123745253.08</v>
      </c>
      <c r="F184" s="104">
        <f>F185+F207</f>
        <v>123745253.08000001</v>
      </c>
      <c r="G184" s="425">
        <f>G185+G207</f>
        <v>123745253.08000001</v>
      </c>
      <c r="H184" s="425">
        <f>H185+H207</f>
        <v>123745253.08000001</v>
      </c>
    </row>
    <row r="185" spans="1:8" ht="31.5">
      <c r="A185" s="240" t="s">
        <v>955</v>
      </c>
      <c r="B185" s="21" t="s">
        <v>442</v>
      </c>
      <c r="C185" s="63"/>
      <c r="D185" s="104"/>
      <c r="E185" s="104">
        <f>SUM(E186:E206)</f>
        <v>123593539.08</v>
      </c>
      <c r="F185" s="104">
        <f>SUM(F186:F206)</f>
        <v>123593539.08000001</v>
      </c>
      <c r="G185" s="425">
        <f>SUM(G186:G206)</f>
        <v>123593539.08000001</v>
      </c>
      <c r="H185" s="425">
        <f>SUM(H186:H206)</f>
        <v>123593539.08000001</v>
      </c>
    </row>
    <row r="186" spans="1:8" ht="63">
      <c r="A186" s="71" t="s">
        <v>443</v>
      </c>
      <c r="B186" s="22" t="s">
        <v>444</v>
      </c>
      <c r="C186" s="64">
        <v>600</v>
      </c>
      <c r="D186" s="98"/>
      <c r="E186" s="98">
        <v>6510044.79</v>
      </c>
      <c r="F186" s="98">
        <v>6510272.53</v>
      </c>
      <c r="G186" s="428">
        <v>6510272.53</v>
      </c>
      <c r="H186" s="428">
        <v>6510272.53</v>
      </c>
    </row>
    <row r="187" spans="1:9" ht="94.5">
      <c r="A187" s="71" t="s">
        <v>706</v>
      </c>
      <c r="B187" s="22" t="s">
        <v>714</v>
      </c>
      <c r="C187" s="64">
        <v>600</v>
      </c>
      <c r="D187" s="98"/>
      <c r="E187" s="98">
        <v>6193210.77</v>
      </c>
      <c r="F187" s="98">
        <v>6193210.77</v>
      </c>
      <c r="G187" s="428">
        <v>6193210.77</v>
      </c>
      <c r="H187" s="428">
        <v>6193210.77</v>
      </c>
      <c r="I187" s="193"/>
    </row>
    <row r="188" spans="1:8" ht="63.75" customHeight="1">
      <c r="A188" s="71" t="s">
        <v>707</v>
      </c>
      <c r="B188" s="22" t="s">
        <v>715</v>
      </c>
      <c r="C188" s="64">
        <v>600</v>
      </c>
      <c r="D188" s="98"/>
      <c r="E188" s="98">
        <v>7436808.27</v>
      </c>
      <c r="F188" s="98">
        <v>7436808.27</v>
      </c>
      <c r="G188" s="428">
        <v>7436808.27</v>
      </c>
      <c r="H188" s="428">
        <v>7436808.27</v>
      </c>
    </row>
    <row r="189" spans="1:8" ht="63" customHeight="1">
      <c r="A189" s="71" t="s">
        <v>1163</v>
      </c>
      <c r="B189" s="22" t="s">
        <v>1158</v>
      </c>
      <c r="C189" s="64">
        <v>600</v>
      </c>
      <c r="D189" s="98"/>
      <c r="E189" s="98">
        <v>535135.19</v>
      </c>
      <c r="F189" s="98">
        <v>535135.19</v>
      </c>
      <c r="G189" s="428">
        <v>535135.19</v>
      </c>
      <c r="H189" s="428">
        <v>535135.19</v>
      </c>
    </row>
    <row r="190" spans="1:8" ht="78.75">
      <c r="A190" s="71" t="s">
        <v>708</v>
      </c>
      <c r="B190" s="22" t="s">
        <v>716</v>
      </c>
      <c r="C190" s="64">
        <v>600</v>
      </c>
      <c r="D190" s="98"/>
      <c r="E190" s="98"/>
      <c r="F190" s="98"/>
      <c r="G190" s="428"/>
      <c r="H190" s="428"/>
    </row>
    <row r="191" spans="1:8" ht="81" customHeight="1">
      <c r="A191" s="71" t="s">
        <v>709</v>
      </c>
      <c r="B191" s="22" t="s">
        <v>717</v>
      </c>
      <c r="C191" s="64">
        <v>600</v>
      </c>
      <c r="D191" s="98"/>
      <c r="E191" s="98">
        <v>6864666.73</v>
      </c>
      <c r="F191" s="98">
        <v>6864666.73</v>
      </c>
      <c r="G191" s="428">
        <v>6864666.73</v>
      </c>
      <c r="H191" s="428">
        <v>6864666.73</v>
      </c>
    </row>
    <row r="192" spans="1:8" ht="48" customHeight="1">
      <c r="A192" s="162" t="s">
        <v>573</v>
      </c>
      <c r="B192" s="22" t="s">
        <v>574</v>
      </c>
      <c r="C192" s="64">
        <v>600</v>
      </c>
      <c r="D192" s="98"/>
      <c r="E192" s="98">
        <v>1744200</v>
      </c>
      <c r="F192" s="98">
        <v>1744200</v>
      </c>
      <c r="G192" s="428">
        <v>1744200</v>
      </c>
      <c r="H192" s="428">
        <v>1744200</v>
      </c>
    </row>
    <row r="193" spans="1:8" ht="78.75">
      <c r="A193" s="239" t="s">
        <v>1056</v>
      </c>
      <c r="B193" s="22" t="s">
        <v>999</v>
      </c>
      <c r="C193" s="64">
        <v>600</v>
      </c>
      <c r="D193" s="98"/>
      <c r="E193" s="98"/>
      <c r="F193" s="98"/>
      <c r="G193" s="428"/>
      <c r="H193" s="428"/>
    </row>
    <row r="194" spans="1:8" ht="63" customHeight="1">
      <c r="A194" s="239" t="s">
        <v>1055</v>
      </c>
      <c r="B194" s="22" t="s">
        <v>999</v>
      </c>
      <c r="C194" s="64">
        <v>200</v>
      </c>
      <c r="D194" s="98"/>
      <c r="E194" s="98"/>
      <c r="F194" s="98"/>
      <c r="G194" s="428"/>
      <c r="H194" s="428"/>
    </row>
    <row r="195" spans="1:8" ht="69" customHeight="1">
      <c r="A195" s="235" t="s">
        <v>1499</v>
      </c>
      <c r="B195" s="22" t="s">
        <v>1498</v>
      </c>
      <c r="C195" s="64">
        <v>600</v>
      </c>
      <c r="D195" s="98"/>
      <c r="E195" s="98">
        <v>227.74</v>
      </c>
      <c r="F195" s="98"/>
      <c r="G195" s="428"/>
      <c r="H195" s="428"/>
    </row>
    <row r="196" spans="1:8" ht="81" customHeight="1">
      <c r="A196" s="71" t="s">
        <v>445</v>
      </c>
      <c r="B196" s="22" t="s">
        <v>446</v>
      </c>
      <c r="C196" s="64">
        <v>100</v>
      </c>
      <c r="D196" s="98"/>
      <c r="E196" s="98">
        <v>5582697.84</v>
      </c>
      <c r="F196" s="98">
        <v>5582697.84</v>
      </c>
      <c r="G196" s="428">
        <v>5582697.84</v>
      </c>
      <c r="H196" s="428">
        <v>5582697.84</v>
      </c>
    </row>
    <row r="197" spans="1:8" ht="47.25">
      <c r="A197" s="71" t="s">
        <v>605</v>
      </c>
      <c r="B197" s="22" t="s">
        <v>446</v>
      </c>
      <c r="C197" s="64">
        <v>200</v>
      </c>
      <c r="D197" s="98">
        <v>-745000</v>
      </c>
      <c r="E197" s="98">
        <v>9970553.27</v>
      </c>
      <c r="F197" s="98">
        <v>9971008.73</v>
      </c>
      <c r="G197" s="428">
        <v>9971008.73</v>
      </c>
      <c r="H197" s="428">
        <v>9971008.73</v>
      </c>
    </row>
    <row r="198" spans="1:9" ht="31.5">
      <c r="A198" s="71" t="s">
        <v>447</v>
      </c>
      <c r="B198" s="22" t="s">
        <v>446</v>
      </c>
      <c r="C198" s="64">
        <v>800</v>
      </c>
      <c r="D198" s="98"/>
      <c r="E198" s="98">
        <v>202935.92</v>
      </c>
      <c r="F198" s="98">
        <v>202935.92</v>
      </c>
      <c r="G198" s="428">
        <v>202935.92</v>
      </c>
      <c r="H198" s="428">
        <v>202935.92</v>
      </c>
      <c r="I198" s="193"/>
    </row>
    <row r="199" spans="1:8" ht="47.25">
      <c r="A199" s="162" t="s">
        <v>606</v>
      </c>
      <c r="B199" s="22" t="s">
        <v>575</v>
      </c>
      <c r="C199" s="64">
        <v>200</v>
      </c>
      <c r="D199" s="98"/>
      <c r="E199" s="98">
        <v>323000</v>
      </c>
      <c r="F199" s="98">
        <v>323000</v>
      </c>
      <c r="G199" s="428">
        <v>323000</v>
      </c>
      <c r="H199" s="428">
        <v>323000</v>
      </c>
    </row>
    <row r="200" spans="1:8" ht="51" customHeight="1">
      <c r="A200" s="71" t="s">
        <v>607</v>
      </c>
      <c r="B200" s="22" t="s">
        <v>448</v>
      </c>
      <c r="C200" s="64">
        <v>200</v>
      </c>
      <c r="D200" s="98">
        <v>745000</v>
      </c>
      <c r="E200" s="98">
        <v>1400000</v>
      </c>
      <c r="F200" s="98">
        <v>1400000</v>
      </c>
      <c r="G200" s="428">
        <v>1400000</v>
      </c>
      <c r="H200" s="428">
        <v>1400000</v>
      </c>
    </row>
    <row r="201" spans="1:8" ht="51.75" customHeight="1">
      <c r="A201" s="235" t="s">
        <v>1496</v>
      </c>
      <c r="B201" s="22" t="s">
        <v>1497</v>
      </c>
      <c r="C201" s="64">
        <v>200</v>
      </c>
      <c r="D201" s="98"/>
      <c r="E201" s="98">
        <v>455.46</v>
      </c>
      <c r="F201" s="98"/>
      <c r="G201" s="428"/>
      <c r="H201" s="428"/>
    </row>
    <row r="202" spans="1:8" ht="96.75" customHeight="1">
      <c r="A202" s="65" t="s">
        <v>731</v>
      </c>
      <c r="B202" s="22" t="s">
        <v>449</v>
      </c>
      <c r="C202" s="64">
        <v>200</v>
      </c>
      <c r="D202" s="98">
        <v>-370500</v>
      </c>
      <c r="E202" s="98">
        <v>35942</v>
      </c>
      <c r="F202" s="98">
        <v>35942</v>
      </c>
      <c r="G202" s="428">
        <v>35942</v>
      </c>
      <c r="H202" s="428">
        <v>35942</v>
      </c>
    </row>
    <row r="203" spans="1:8" ht="94.5">
      <c r="A203" s="65" t="s">
        <v>729</v>
      </c>
      <c r="B203" s="22" t="s">
        <v>618</v>
      </c>
      <c r="C203" s="64">
        <v>300</v>
      </c>
      <c r="D203" s="98"/>
      <c r="E203" s="143">
        <v>86620.1</v>
      </c>
      <c r="F203" s="143">
        <v>86620.1</v>
      </c>
      <c r="G203" s="426">
        <v>86620.1</v>
      </c>
      <c r="H203" s="426">
        <v>86620.1</v>
      </c>
    </row>
    <row r="204" spans="1:8" ht="177" customHeight="1">
      <c r="A204" s="71" t="s">
        <v>732</v>
      </c>
      <c r="B204" s="22" t="s">
        <v>450</v>
      </c>
      <c r="C204" s="64">
        <v>100</v>
      </c>
      <c r="D204" s="98"/>
      <c r="E204" s="98">
        <v>14929201</v>
      </c>
      <c r="F204" s="98">
        <v>14929201</v>
      </c>
      <c r="G204" s="428">
        <v>14929201</v>
      </c>
      <c r="H204" s="428">
        <v>14929201</v>
      </c>
    </row>
    <row r="205" spans="1:8" ht="145.5" customHeight="1">
      <c r="A205" s="71" t="s">
        <v>733</v>
      </c>
      <c r="B205" s="22" t="s">
        <v>450</v>
      </c>
      <c r="C205" s="64">
        <v>200</v>
      </c>
      <c r="D205" s="98"/>
      <c r="E205" s="98">
        <v>162328</v>
      </c>
      <c r="F205" s="98">
        <v>162328</v>
      </c>
      <c r="G205" s="428">
        <v>162328</v>
      </c>
      <c r="H205" s="428">
        <v>162328</v>
      </c>
    </row>
    <row r="206" spans="1:8" ht="156.75" customHeight="1">
      <c r="A206" s="71" t="s">
        <v>734</v>
      </c>
      <c r="B206" s="22" t="s">
        <v>450</v>
      </c>
      <c r="C206" s="64">
        <v>600</v>
      </c>
      <c r="D206" s="98">
        <v>1357611</v>
      </c>
      <c r="E206" s="98">
        <v>61615512</v>
      </c>
      <c r="F206" s="98">
        <v>61615512</v>
      </c>
      <c r="G206" s="428">
        <v>61615512</v>
      </c>
      <c r="H206" s="428">
        <v>61615512</v>
      </c>
    </row>
    <row r="207" spans="1:8" ht="31.5">
      <c r="A207" s="240" t="s">
        <v>956</v>
      </c>
      <c r="B207" s="127" t="s">
        <v>869</v>
      </c>
      <c r="C207" s="128"/>
      <c r="D207" s="129"/>
      <c r="E207" s="129">
        <f>E208+E209</f>
        <v>151714</v>
      </c>
      <c r="F207" s="129">
        <f>F208+F209</f>
        <v>151714</v>
      </c>
      <c r="G207" s="427">
        <f>G208+G209</f>
        <v>151714</v>
      </c>
      <c r="H207" s="427">
        <f>H208+H209</f>
        <v>151714</v>
      </c>
    </row>
    <row r="208" spans="1:8" ht="63" hidden="1">
      <c r="A208" s="71" t="s">
        <v>1005</v>
      </c>
      <c r="B208" s="22" t="s">
        <v>1015</v>
      </c>
      <c r="C208" s="64">
        <v>600</v>
      </c>
      <c r="D208" s="98"/>
      <c r="E208" s="98"/>
      <c r="F208" s="98"/>
      <c r="G208" s="428"/>
      <c r="H208" s="428"/>
    </row>
    <row r="209" spans="1:8" ht="63">
      <c r="A209" s="71" t="s">
        <v>1005</v>
      </c>
      <c r="B209" s="22" t="s">
        <v>1016</v>
      </c>
      <c r="C209" s="64">
        <v>600</v>
      </c>
      <c r="D209" s="98"/>
      <c r="E209" s="98">
        <v>151714</v>
      </c>
      <c r="F209" s="98">
        <v>151714</v>
      </c>
      <c r="G209" s="428">
        <v>151714</v>
      </c>
      <c r="H209" s="428">
        <v>151714</v>
      </c>
    </row>
    <row r="210" spans="1:8" ht="31.5">
      <c r="A210" s="136" t="s">
        <v>451</v>
      </c>
      <c r="B210" s="21" t="s">
        <v>452</v>
      </c>
      <c r="C210" s="63"/>
      <c r="D210" s="104" t="e">
        <f>D212+#REF!+D215</f>
        <v>#REF!</v>
      </c>
      <c r="E210" s="104">
        <f>E211</f>
        <v>5043260.25</v>
      </c>
      <c r="F210" s="104">
        <f>F211</f>
        <v>5043260.25</v>
      </c>
      <c r="G210" s="425">
        <f>G211</f>
        <v>5043260.25</v>
      </c>
      <c r="H210" s="425">
        <f>H211</f>
        <v>5043260.25</v>
      </c>
    </row>
    <row r="211" spans="1:8" ht="31.5">
      <c r="A211" s="136" t="s">
        <v>938</v>
      </c>
      <c r="B211" s="21" t="s">
        <v>453</v>
      </c>
      <c r="C211" s="63"/>
      <c r="D211" s="104"/>
      <c r="E211" s="104">
        <f>SUM(E212:E215)</f>
        <v>5043260.25</v>
      </c>
      <c r="F211" s="104">
        <f>SUM(F212:F215)</f>
        <v>5043260.25</v>
      </c>
      <c r="G211" s="425">
        <f>SUM(G212:G215)</f>
        <v>5043260.25</v>
      </c>
      <c r="H211" s="425">
        <f>SUM(H212:H215)</f>
        <v>5043260.25</v>
      </c>
    </row>
    <row r="212" spans="1:8" ht="66.75" customHeight="1">
      <c r="A212" s="71" t="s">
        <v>454</v>
      </c>
      <c r="B212" s="22" t="s">
        <v>455</v>
      </c>
      <c r="C212" s="64">
        <v>600</v>
      </c>
      <c r="D212" s="98"/>
      <c r="E212" s="98">
        <v>4905060.25</v>
      </c>
      <c r="F212" s="98">
        <v>4905060.25</v>
      </c>
      <c r="G212" s="428">
        <v>4905060.25</v>
      </c>
      <c r="H212" s="428">
        <v>4905060.25</v>
      </c>
    </row>
    <row r="213" spans="1:8" ht="83.25" customHeight="1">
      <c r="A213" s="71" t="s">
        <v>871</v>
      </c>
      <c r="B213" s="22" t="s">
        <v>872</v>
      </c>
      <c r="C213" s="64">
        <v>600</v>
      </c>
      <c r="D213" s="98"/>
      <c r="E213" s="98"/>
      <c r="F213" s="98"/>
      <c r="G213" s="428"/>
      <c r="H213" s="428"/>
    </row>
    <row r="214" spans="1:8" ht="48.75" customHeight="1">
      <c r="A214" s="169" t="s">
        <v>1454</v>
      </c>
      <c r="B214" s="22" t="s">
        <v>1354</v>
      </c>
      <c r="C214" s="64">
        <v>600</v>
      </c>
      <c r="D214" s="98"/>
      <c r="E214" s="98">
        <v>138200</v>
      </c>
      <c r="F214" s="143">
        <v>138200</v>
      </c>
      <c r="G214" s="428">
        <v>138200</v>
      </c>
      <c r="H214" s="426">
        <v>138200</v>
      </c>
    </row>
    <row r="215" spans="1:8" ht="94.5">
      <c r="A215" s="71" t="s">
        <v>726</v>
      </c>
      <c r="B215" s="22" t="s">
        <v>456</v>
      </c>
      <c r="C215" s="64">
        <v>600</v>
      </c>
      <c r="D215" s="98">
        <v>451896</v>
      </c>
      <c r="E215" s="98"/>
      <c r="F215" s="98"/>
      <c r="G215" s="428"/>
      <c r="H215" s="428"/>
    </row>
    <row r="216" spans="1:8" ht="63">
      <c r="A216" s="226" t="s">
        <v>891</v>
      </c>
      <c r="B216" s="24" t="s">
        <v>457</v>
      </c>
      <c r="C216" s="230"/>
      <c r="D216" s="165" t="e">
        <f>D217+D236+#REF!</f>
        <v>#REF!</v>
      </c>
      <c r="E216" s="165">
        <f>E217+E236+E243</f>
        <v>3668909.26</v>
      </c>
      <c r="F216" s="165">
        <f>F217+F236+F243</f>
        <v>3661701.8</v>
      </c>
      <c r="G216" s="424">
        <f>G217+G236+G243</f>
        <v>3622709.26</v>
      </c>
      <c r="H216" s="424">
        <f>H217+H236+H243</f>
        <v>3615501.8</v>
      </c>
    </row>
    <row r="217" spans="1:8" ht="49.5" customHeight="1">
      <c r="A217" s="136" t="s">
        <v>465</v>
      </c>
      <c r="B217" s="21" t="s">
        <v>458</v>
      </c>
      <c r="C217" s="63"/>
      <c r="D217" s="104">
        <f>D219</f>
        <v>0</v>
      </c>
      <c r="E217" s="104">
        <f>E218+E226+E233</f>
        <v>1758624.5</v>
      </c>
      <c r="F217" s="104">
        <f>F218+F226+F233</f>
        <v>1758624.5</v>
      </c>
      <c r="G217" s="425">
        <f>G218+G226+G233</f>
        <v>1712424.5</v>
      </c>
      <c r="H217" s="425">
        <f>H218+H226+H233</f>
        <v>1712424.5</v>
      </c>
    </row>
    <row r="218" spans="1:8" ht="18.75" customHeight="1">
      <c r="A218" s="240" t="s">
        <v>466</v>
      </c>
      <c r="B218" s="21" t="s">
        <v>459</v>
      </c>
      <c r="C218" s="63"/>
      <c r="D218" s="104"/>
      <c r="E218" s="104">
        <f>SUM(E219:E225)</f>
        <v>979700</v>
      </c>
      <c r="F218" s="104">
        <f>SUM(F219:F225)</f>
        <v>979700</v>
      </c>
      <c r="G218" s="425">
        <f>SUM(G219:G225)</f>
        <v>933500</v>
      </c>
      <c r="H218" s="425">
        <f>SUM(H219:H225)</f>
        <v>933500</v>
      </c>
    </row>
    <row r="219" spans="1:8" ht="63" customHeight="1">
      <c r="A219" s="71" t="s">
        <v>700</v>
      </c>
      <c r="B219" s="22" t="s">
        <v>1420</v>
      </c>
      <c r="C219" s="64">
        <v>600</v>
      </c>
      <c r="D219" s="98"/>
      <c r="E219" s="98">
        <v>350000</v>
      </c>
      <c r="F219" s="98">
        <v>350000</v>
      </c>
      <c r="G219" s="428">
        <v>350000</v>
      </c>
      <c r="H219" s="428">
        <v>350000</v>
      </c>
    </row>
    <row r="220" spans="1:8" ht="81" customHeight="1">
      <c r="A220" s="71" t="s">
        <v>747</v>
      </c>
      <c r="B220" s="22" t="s">
        <v>1421</v>
      </c>
      <c r="C220" s="64">
        <v>100</v>
      </c>
      <c r="D220" s="98"/>
      <c r="E220" s="98">
        <v>56000</v>
      </c>
      <c r="F220" s="98">
        <v>56000</v>
      </c>
      <c r="G220" s="428">
        <v>56000</v>
      </c>
      <c r="H220" s="428">
        <v>56000</v>
      </c>
    </row>
    <row r="221" spans="1:8" ht="48" customHeight="1">
      <c r="A221" s="71" t="s">
        <v>609</v>
      </c>
      <c r="B221" s="22" t="s">
        <v>1422</v>
      </c>
      <c r="C221" s="64">
        <v>200</v>
      </c>
      <c r="D221" s="98"/>
      <c r="E221" s="98">
        <v>65500</v>
      </c>
      <c r="F221" s="98">
        <v>65500</v>
      </c>
      <c r="G221" s="428">
        <v>65500</v>
      </c>
      <c r="H221" s="428">
        <v>65500</v>
      </c>
    </row>
    <row r="222" spans="1:8" ht="63">
      <c r="A222" s="71" t="s">
        <v>1018</v>
      </c>
      <c r="B222" s="22" t="s">
        <v>1422</v>
      </c>
      <c r="C222" s="64">
        <v>600</v>
      </c>
      <c r="D222" s="98"/>
      <c r="E222" s="98"/>
      <c r="F222" s="98"/>
      <c r="G222" s="428"/>
      <c r="H222" s="428"/>
    </row>
    <row r="223" spans="1:8" ht="63">
      <c r="A223" s="71" t="s">
        <v>772</v>
      </c>
      <c r="B223" s="22" t="s">
        <v>1422</v>
      </c>
      <c r="C223" s="64">
        <v>200</v>
      </c>
      <c r="D223" s="98"/>
      <c r="E223" s="98">
        <v>28875</v>
      </c>
      <c r="F223" s="98">
        <v>28875</v>
      </c>
      <c r="G223" s="428">
        <v>23100</v>
      </c>
      <c r="H223" s="428">
        <v>23100</v>
      </c>
    </row>
    <row r="224" spans="1:8" ht="63.75" customHeight="1">
      <c r="A224" s="71" t="s">
        <v>773</v>
      </c>
      <c r="B224" s="22" t="s">
        <v>1422</v>
      </c>
      <c r="C224" s="64">
        <v>600</v>
      </c>
      <c r="D224" s="98"/>
      <c r="E224" s="98">
        <v>428505</v>
      </c>
      <c r="F224" s="98">
        <v>428505</v>
      </c>
      <c r="G224" s="428">
        <v>392700</v>
      </c>
      <c r="H224" s="428">
        <v>392700</v>
      </c>
    </row>
    <row r="225" spans="1:8" ht="78.75">
      <c r="A225" s="65" t="s">
        <v>894</v>
      </c>
      <c r="B225" s="22" t="s">
        <v>1423</v>
      </c>
      <c r="C225" s="64">
        <v>600</v>
      </c>
      <c r="D225" s="98"/>
      <c r="E225" s="98">
        <v>50820</v>
      </c>
      <c r="F225" s="98">
        <v>50820</v>
      </c>
      <c r="G225" s="428">
        <v>46200</v>
      </c>
      <c r="H225" s="428">
        <v>46200</v>
      </c>
    </row>
    <row r="226" spans="1:8" ht="31.5">
      <c r="A226" s="232" t="s">
        <v>376</v>
      </c>
      <c r="B226" s="127" t="s">
        <v>1424</v>
      </c>
      <c r="C226" s="129"/>
      <c r="D226" s="129"/>
      <c r="E226" s="129">
        <f>SUM(E227:E232)</f>
        <v>763924.5</v>
      </c>
      <c r="F226" s="129">
        <f>SUM(F227:F232)</f>
        <v>763924.5</v>
      </c>
      <c r="G226" s="427">
        <f>SUM(G227:G232)</f>
        <v>763924.5</v>
      </c>
      <c r="H226" s="427">
        <f>SUM(H227:H232)</f>
        <v>763924.5</v>
      </c>
    </row>
    <row r="227" spans="1:8" ht="48" customHeight="1">
      <c r="A227" s="65" t="s">
        <v>599</v>
      </c>
      <c r="B227" s="22" t="s">
        <v>1425</v>
      </c>
      <c r="C227" s="64">
        <v>200</v>
      </c>
      <c r="D227" s="98">
        <v>320000</v>
      </c>
      <c r="E227" s="143">
        <v>350000</v>
      </c>
      <c r="F227" s="143">
        <v>350000</v>
      </c>
      <c r="G227" s="426">
        <v>350000</v>
      </c>
      <c r="H227" s="426">
        <v>350000</v>
      </c>
    </row>
    <row r="228" spans="1:8" ht="47.25">
      <c r="A228" s="65" t="s">
        <v>1073</v>
      </c>
      <c r="B228" s="22" t="s">
        <v>1426</v>
      </c>
      <c r="C228" s="64">
        <v>200</v>
      </c>
      <c r="D228" s="98"/>
      <c r="E228" s="143">
        <v>0</v>
      </c>
      <c r="F228" s="143">
        <v>0</v>
      </c>
      <c r="G228" s="426">
        <v>0</v>
      </c>
      <c r="H228" s="426">
        <v>0</v>
      </c>
    </row>
    <row r="229" spans="1:8" ht="52.5" customHeight="1">
      <c r="A229" s="65" t="s">
        <v>1033</v>
      </c>
      <c r="B229" s="22" t="s">
        <v>1427</v>
      </c>
      <c r="C229" s="64">
        <v>200</v>
      </c>
      <c r="D229" s="98"/>
      <c r="E229" s="143">
        <v>0</v>
      </c>
      <c r="F229" s="143">
        <v>0</v>
      </c>
      <c r="G229" s="426">
        <v>0</v>
      </c>
      <c r="H229" s="426">
        <v>0</v>
      </c>
    </row>
    <row r="230" spans="1:8" ht="47.25">
      <c r="A230" s="65" t="s">
        <v>600</v>
      </c>
      <c r="B230" s="22" t="s">
        <v>1428</v>
      </c>
      <c r="C230" s="64">
        <v>200</v>
      </c>
      <c r="D230" s="98">
        <v>10975</v>
      </c>
      <c r="E230" s="143">
        <v>10666.5</v>
      </c>
      <c r="F230" s="143">
        <v>10666.5</v>
      </c>
      <c r="G230" s="426">
        <v>10666.5</v>
      </c>
      <c r="H230" s="426">
        <v>10666.5</v>
      </c>
    </row>
    <row r="231" spans="1:8" ht="79.5" customHeight="1">
      <c r="A231" s="65" t="s">
        <v>377</v>
      </c>
      <c r="B231" s="22" t="s">
        <v>1429</v>
      </c>
      <c r="C231" s="64">
        <v>100</v>
      </c>
      <c r="D231" s="98">
        <v>383500</v>
      </c>
      <c r="E231" s="143">
        <v>399528</v>
      </c>
      <c r="F231" s="143">
        <v>399528</v>
      </c>
      <c r="G231" s="426">
        <v>399528</v>
      </c>
      <c r="H231" s="426">
        <v>399528</v>
      </c>
    </row>
    <row r="232" spans="1:8" ht="52.5" customHeight="1">
      <c r="A232" s="65" t="s">
        <v>601</v>
      </c>
      <c r="B232" s="22" t="s">
        <v>1429</v>
      </c>
      <c r="C232" s="64">
        <v>200</v>
      </c>
      <c r="D232" s="98">
        <v>63370</v>
      </c>
      <c r="E232" s="143">
        <v>3730</v>
      </c>
      <c r="F232" s="143">
        <v>3730</v>
      </c>
      <c r="G232" s="426">
        <v>3730</v>
      </c>
      <c r="H232" s="426">
        <v>3730</v>
      </c>
    </row>
    <row r="233" spans="1:8" ht="31.5">
      <c r="A233" s="136" t="s">
        <v>1048</v>
      </c>
      <c r="B233" s="127" t="s">
        <v>1430</v>
      </c>
      <c r="C233" s="128"/>
      <c r="D233" s="129"/>
      <c r="E233" s="129">
        <f>E234+E235</f>
        <v>15000</v>
      </c>
      <c r="F233" s="129">
        <f>F234+F235</f>
        <v>15000</v>
      </c>
      <c r="G233" s="427">
        <f>G234+G235</f>
        <v>15000</v>
      </c>
      <c r="H233" s="427">
        <f>H234+H235</f>
        <v>15000</v>
      </c>
    </row>
    <row r="234" spans="1:8" ht="48" customHeight="1">
      <c r="A234" s="65" t="s">
        <v>1242</v>
      </c>
      <c r="B234" s="22" t="s">
        <v>1431</v>
      </c>
      <c r="C234" s="64">
        <v>200</v>
      </c>
      <c r="D234" s="98"/>
      <c r="E234" s="143">
        <v>9000</v>
      </c>
      <c r="F234" s="98">
        <v>9000</v>
      </c>
      <c r="G234" s="426">
        <v>9000</v>
      </c>
      <c r="H234" s="428">
        <v>9000</v>
      </c>
    </row>
    <row r="235" spans="1:8" ht="63">
      <c r="A235" s="65" t="s">
        <v>1243</v>
      </c>
      <c r="B235" s="22" t="s">
        <v>1432</v>
      </c>
      <c r="C235" s="64">
        <v>200</v>
      </c>
      <c r="D235" s="98"/>
      <c r="E235" s="143">
        <v>6000</v>
      </c>
      <c r="F235" s="98">
        <v>6000</v>
      </c>
      <c r="G235" s="426">
        <v>6000</v>
      </c>
      <c r="H235" s="428">
        <v>6000</v>
      </c>
    </row>
    <row r="236" spans="1:8" ht="31.5">
      <c r="A236" s="136" t="s">
        <v>467</v>
      </c>
      <c r="B236" s="21" t="s">
        <v>1433</v>
      </c>
      <c r="C236" s="63"/>
      <c r="D236" s="104">
        <f>D238</f>
        <v>0</v>
      </c>
      <c r="E236" s="104">
        <f>E237+E239</f>
        <v>61400</v>
      </c>
      <c r="F236" s="104">
        <f>F237+F239</f>
        <v>61400</v>
      </c>
      <c r="G236" s="425">
        <f>G237+G239</f>
        <v>61400</v>
      </c>
      <c r="H236" s="425">
        <f>H237+H239</f>
        <v>61400</v>
      </c>
    </row>
    <row r="237" spans="1:8" ht="31.5">
      <c r="A237" s="136" t="s">
        <v>1049</v>
      </c>
      <c r="B237" s="21" t="s">
        <v>1434</v>
      </c>
      <c r="C237" s="63"/>
      <c r="D237" s="104"/>
      <c r="E237" s="104">
        <f>E238</f>
        <v>4000</v>
      </c>
      <c r="F237" s="104">
        <f>F238</f>
        <v>4000</v>
      </c>
      <c r="G237" s="425">
        <f>G238</f>
        <v>4000</v>
      </c>
      <c r="H237" s="425">
        <f>H238</f>
        <v>4000</v>
      </c>
    </row>
    <row r="238" spans="1:8" ht="63">
      <c r="A238" s="71" t="s">
        <v>1050</v>
      </c>
      <c r="B238" s="22" t="s">
        <v>1435</v>
      </c>
      <c r="C238" s="64">
        <v>200</v>
      </c>
      <c r="D238" s="98"/>
      <c r="E238" s="143">
        <v>4000</v>
      </c>
      <c r="F238" s="98">
        <v>4000</v>
      </c>
      <c r="G238" s="426">
        <v>4000</v>
      </c>
      <c r="H238" s="428">
        <v>4000</v>
      </c>
    </row>
    <row r="239" spans="1:8" ht="31.5">
      <c r="A239" s="136" t="s">
        <v>943</v>
      </c>
      <c r="B239" s="21" t="s">
        <v>1436</v>
      </c>
      <c r="C239" s="63"/>
      <c r="D239" s="98"/>
      <c r="E239" s="129">
        <f>SUM(E240:E242)</f>
        <v>57400</v>
      </c>
      <c r="F239" s="129">
        <f>SUM(F240:F242)</f>
        <v>57400</v>
      </c>
      <c r="G239" s="427">
        <f>SUM(G240:G242)</f>
        <v>57400</v>
      </c>
      <c r="H239" s="427">
        <f>SUM(H240:H242)</f>
        <v>57400</v>
      </c>
    </row>
    <row r="240" spans="1:8" ht="84" customHeight="1">
      <c r="A240" s="71" t="s">
        <v>986</v>
      </c>
      <c r="B240" s="22" t="s">
        <v>1437</v>
      </c>
      <c r="C240" s="64">
        <v>100</v>
      </c>
      <c r="D240" s="98"/>
      <c r="E240" s="143">
        <v>15000</v>
      </c>
      <c r="F240" s="98">
        <v>15000</v>
      </c>
      <c r="G240" s="426">
        <v>15000</v>
      </c>
      <c r="H240" s="428">
        <v>15000</v>
      </c>
    </row>
    <row r="241" spans="1:8" ht="47.25" customHeight="1">
      <c r="A241" s="71" t="s">
        <v>987</v>
      </c>
      <c r="B241" s="22" t="s">
        <v>1438</v>
      </c>
      <c r="C241" s="64">
        <v>200</v>
      </c>
      <c r="D241" s="98"/>
      <c r="E241" s="143">
        <v>5000</v>
      </c>
      <c r="F241" s="98">
        <v>5000</v>
      </c>
      <c r="G241" s="426">
        <v>5000</v>
      </c>
      <c r="H241" s="428">
        <v>5000</v>
      </c>
    </row>
    <row r="242" spans="1:8" ht="63">
      <c r="A242" s="71" t="s">
        <v>954</v>
      </c>
      <c r="B242" s="22" t="s">
        <v>1439</v>
      </c>
      <c r="C242" s="64">
        <v>200</v>
      </c>
      <c r="D242" s="98"/>
      <c r="E242" s="143">
        <v>37400</v>
      </c>
      <c r="F242" s="98">
        <v>37400</v>
      </c>
      <c r="G242" s="426">
        <v>37400</v>
      </c>
      <c r="H242" s="428">
        <v>37400</v>
      </c>
    </row>
    <row r="243" spans="1:8" ht="31.5">
      <c r="A243" s="136" t="s">
        <v>1022</v>
      </c>
      <c r="B243" s="21" t="s">
        <v>1440</v>
      </c>
      <c r="C243" s="63"/>
      <c r="D243" s="104">
        <f>D245</f>
        <v>0</v>
      </c>
      <c r="E243" s="104">
        <f>E244</f>
        <v>1848884.76</v>
      </c>
      <c r="F243" s="104">
        <f>F244</f>
        <v>1841677.3</v>
      </c>
      <c r="G243" s="425">
        <f>G244</f>
        <v>1848884.76</v>
      </c>
      <c r="H243" s="425">
        <f>H244</f>
        <v>1841677.3</v>
      </c>
    </row>
    <row r="244" spans="1:8" ht="31.5">
      <c r="A244" s="136" t="s">
        <v>1023</v>
      </c>
      <c r="B244" s="21" t="s">
        <v>1441</v>
      </c>
      <c r="C244" s="63"/>
      <c r="D244" s="104"/>
      <c r="E244" s="104">
        <f>E245+E246+E247</f>
        <v>1848884.76</v>
      </c>
      <c r="F244" s="104">
        <f>F245+F246+F247</f>
        <v>1841677.3</v>
      </c>
      <c r="G244" s="425">
        <f>G245+G246+G247</f>
        <v>1848884.76</v>
      </c>
      <c r="H244" s="425">
        <f>H245+H246+H247</f>
        <v>1841677.3</v>
      </c>
    </row>
    <row r="245" spans="1:8" ht="78" customHeight="1">
      <c r="A245" s="71" t="s">
        <v>1025</v>
      </c>
      <c r="B245" s="22" t="s">
        <v>1442</v>
      </c>
      <c r="C245" s="64">
        <v>100</v>
      </c>
      <c r="D245" s="98"/>
      <c r="E245" s="143">
        <v>1768804.76</v>
      </c>
      <c r="F245" s="98">
        <v>1768804.76</v>
      </c>
      <c r="G245" s="426">
        <v>1768804.76</v>
      </c>
      <c r="H245" s="428">
        <v>1768804.76</v>
      </c>
    </row>
    <row r="246" spans="1:8" ht="47.25">
      <c r="A246" s="71" t="s">
        <v>1024</v>
      </c>
      <c r="B246" s="22" t="s">
        <v>1442</v>
      </c>
      <c r="C246" s="64">
        <v>200</v>
      </c>
      <c r="D246" s="98"/>
      <c r="E246" s="143">
        <v>80080</v>
      </c>
      <c r="F246" s="98">
        <v>72872.54</v>
      </c>
      <c r="G246" s="426">
        <v>80080</v>
      </c>
      <c r="H246" s="428">
        <v>72872.54</v>
      </c>
    </row>
    <row r="247" spans="1:8" ht="35.25" customHeight="1">
      <c r="A247" s="71" t="s">
        <v>1026</v>
      </c>
      <c r="B247" s="22" t="s">
        <v>1442</v>
      </c>
      <c r="C247" s="64">
        <v>800</v>
      </c>
      <c r="D247" s="98"/>
      <c r="E247" s="98"/>
      <c r="F247" s="98"/>
      <c r="G247" s="428"/>
      <c r="H247" s="428"/>
    </row>
    <row r="248" spans="1:8" ht="31.5">
      <c r="A248" s="226" t="s">
        <v>665</v>
      </c>
      <c r="B248" s="24" t="s">
        <v>460</v>
      </c>
      <c r="C248" s="230"/>
      <c r="D248" s="165">
        <f>D249</f>
        <v>0</v>
      </c>
      <c r="E248" s="165">
        <f>E249+E254</f>
        <v>4237000</v>
      </c>
      <c r="F248" s="165">
        <f>F249+F254</f>
        <v>4237000</v>
      </c>
      <c r="G248" s="424">
        <f>G249+G254</f>
        <v>4237000</v>
      </c>
      <c r="H248" s="424">
        <f>H249+H254</f>
        <v>4237000</v>
      </c>
    </row>
    <row r="249" spans="1:8" ht="31.5">
      <c r="A249" s="136" t="s">
        <v>939</v>
      </c>
      <c r="B249" s="21" t="s">
        <v>461</v>
      </c>
      <c r="C249" s="63"/>
      <c r="D249" s="104">
        <f>SUM(D251:D253)</f>
        <v>0</v>
      </c>
      <c r="E249" s="104">
        <f>E250</f>
        <v>4237000</v>
      </c>
      <c r="F249" s="104">
        <f>F250</f>
        <v>4237000</v>
      </c>
      <c r="G249" s="425">
        <f>G250</f>
        <v>4237000</v>
      </c>
      <c r="H249" s="425">
        <f>H250</f>
        <v>4237000</v>
      </c>
    </row>
    <row r="250" spans="1:8" ht="31.5">
      <c r="A250" s="136" t="s">
        <v>1004</v>
      </c>
      <c r="B250" s="21" t="s">
        <v>462</v>
      </c>
      <c r="C250" s="63"/>
      <c r="D250" s="104"/>
      <c r="E250" s="104">
        <f>SUM(E251:E253)</f>
        <v>4237000</v>
      </c>
      <c r="F250" s="104">
        <f>SUM(F251:F253)</f>
        <v>4237000</v>
      </c>
      <c r="G250" s="425">
        <f>SUM(G251:G253)</f>
        <v>4237000</v>
      </c>
      <c r="H250" s="425">
        <f>SUM(H251:H253)</f>
        <v>4237000</v>
      </c>
    </row>
    <row r="251" spans="1:8" ht="79.5" customHeight="1">
      <c r="A251" s="71" t="s">
        <v>549</v>
      </c>
      <c r="B251" s="22" t="s">
        <v>464</v>
      </c>
      <c r="C251" s="64">
        <v>100</v>
      </c>
      <c r="D251" s="98">
        <v>56705</v>
      </c>
      <c r="E251" s="98">
        <v>3850265.8</v>
      </c>
      <c r="F251" s="98">
        <v>3850265.8</v>
      </c>
      <c r="G251" s="428">
        <v>3850265.8</v>
      </c>
      <c r="H251" s="428">
        <v>3850265.8</v>
      </c>
    </row>
    <row r="252" spans="1:8" ht="49.5" customHeight="1">
      <c r="A252" s="71" t="s">
        <v>608</v>
      </c>
      <c r="B252" s="22" t="s">
        <v>464</v>
      </c>
      <c r="C252" s="64">
        <v>200</v>
      </c>
      <c r="D252" s="98">
        <v>-50705</v>
      </c>
      <c r="E252" s="98">
        <v>386734.2</v>
      </c>
      <c r="F252" s="98">
        <v>386734.2</v>
      </c>
      <c r="G252" s="428">
        <v>386734.2</v>
      </c>
      <c r="H252" s="428">
        <v>386734.2</v>
      </c>
    </row>
    <row r="253" spans="1:8" ht="27" customHeight="1">
      <c r="A253" s="71" t="s">
        <v>463</v>
      </c>
      <c r="B253" s="22" t="s">
        <v>464</v>
      </c>
      <c r="C253" s="64">
        <v>800</v>
      </c>
      <c r="D253" s="98">
        <v>-6000</v>
      </c>
      <c r="E253" s="98">
        <v>0</v>
      </c>
      <c r="F253" s="98">
        <v>0</v>
      </c>
      <c r="G253" s="428">
        <v>0</v>
      </c>
      <c r="H253" s="428">
        <v>0</v>
      </c>
    </row>
    <row r="254" spans="1:8" ht="31.5">
      <c r="A254" s="136" t="s">
        <v>1137</v>
      </c>
      <c r="B254" s="21" t="s">
        <v>1139</v>
      </c>
      <c r="C254" s="128"/>
      <c r="D254" s="98"/>
      <c r="E254" s="129">
        <f aca="true" t="shared" si="7" ref="E254:H255">E255</f>
        <v>0</v>
      </c>
      <c r="F254" s="129">
        <f t="shared" si="7"/>
        <v>0</v>
      </c>
      <c r="G254" s="427">
        <f t="shared" si="7"/>
        <v>0</v>
      </c>
      <c r="H254" s="427">
        <f t="shared" si="7"/>
        <v>0</v>
      </c>
    </row>
    <row r="255" spans="1:8" ht="31.5">
      <c r="A255" s="136" t="s">
        <v>1138</v>
      </c>
      <c r="B255" s="21" t="s">
        <v>1140</v>
      </c>
      <c r="C255" s="128"/>
      <c r="D255" s="98"/>
      <c r="E255" s="129">
        <f t="shared" si="7"/>
        <v>0</v>
      </c>
      <c r="F255" s="129">
        <f t="shared" si="7"/>
        <v>0</v>
      </c>
      <c r="G255" s="427">
        <f t="shared" si="7"/>
        <v>0</v>
      </c>
      <c r="H255" s="427">
        <f t="shared" si="7"/>
        <v>0</v>
      </c>
    </row>
    <row r="256" spans="1:8" ht="47.25">
      <c r="A256" s="71" t="s">
        <v>1141</v>
      </c>
      <c r="B256" s="22" t="s">
        <v>1142</v>
      </c>
      <c r="C256" s="64">
        <v>200</v>
      </c>
      <c r="D256" s="98"/>
      <c r="E256" s="143">
        <v>0</v>
      </c>
      <c r="F256" s="143">
        <v>0</v>
      </c>
      <c r="G256" s="426">
        <v>0</v>
      </c>
      <c r="H256" s="426">
        <v>0</v>
      </c>
    </row>
    <row r="257" spans="1:8" ht="48.75" customHeight="1">
      <c r="A257" s="226" t="s">
        <v>468</v>
      </c>
      <c r="B257" s="24" t="s">
        <v>469</v>
      </c>
      <c r="C257" s="230"/>
      <c r="D257" s="165">
        <f>D258</f>
        <v>30000</v>
      </c>
      <c r="E257" s="165">
        <f>E258</f>
        <v>11240763.32</v>
      </c>
      <c r="F257" s="165">
        <f>F258</f>
        <v>8958370.58</v>
      </c>
      <c r="G257" s="424">
        <f>G258</f>
        <v>11240763.32</v>
      </c>
      <c r="H257" s="424">
        <f>H258</f>
        <v>8958370.58</v>
      </c>
    </row>
    <row r="258" spans="1:8" ht="15.75">
      <c r="A258" s="136" t="s">
        <v>2</v>
      </c>
      <c r="B258" s="21" t="s">
        <v>470</v>
      </c>
      <c r="C258" s="63"/>
      <c r="D258" s="104">
        <f>SUM(D22:D23)</f>
        <v>30000</v>
      </c>
      <c r="E258" s="104">
        <f>SUM(E259:E274)</f>
        <v>11240763.32</v>
      </c>
      <c r="F258" s="104">
        <f>SUM(F259:F274)</f>
        <v>8958370.58</v>
      </c>
      <c r="G258" s="425">
        <f>SUM(G259:G274)</f>
        <v>11240763.32</v>
      </c>
      <c r="H258" s="425">
        <f>SUM(H259:H274)</f>
        <v>8958370.58</v>
      </c>
    </row>
    <row r="259" spans="1:8" ht="31.5">
      <c r="A259" s="234" t="s">
        <v>625</v>
      </c>
      <c r="B259" s="22" t="s">
        <v>473</v>
      </c>
      <c r="C259" s="64">
        <v>800</v>
      </c>
      <c r="D259" s="98"/>
      <c r="E259" s="143">
        <v>44022</v>
      </c>
      <c r="F259" s="98">
        <v>44022</v>
      </c>
      <c r="G259" s="426">
        <v>44022</v>
      </c>
      <c r="H259" s="428">
        <v>44022</v>
      </c>
    </row>
    <row r="260" spans="1:8" ht="47.25">
      <c r="A260" s="65" t="s">
        <v>611</v>
      </c>
      <c r="B260" s="22" t="s">
        <v>472</v>
      </c>
      <c r="C260" s="64">
        <v>200</v>
      </c>
      <c r="D260" s="98"/>
      <c r="E260" s="143">
        <v>117180</v>
      </c>
      <c r="F260" s="98">
        <v>117180</v>
      </c>
      <c r="G260" s="426">
        <v>117180</v>
      </c>
      <c r="H260" s="428">
        <v>117180</v>
      </c>
    </row>
    <row r="261" spans="1:8" ht="47.25">
      <c r="A261" s="65" t="s">
        <v>474</v>
      </c>
      <c r="B261" s="22" t="s">
        <v>475</v>
      </c>
      <c r="C261" s="64">
        <v>400</v>
      </c>
      <c r="D261" s="98"/>
      <c r="E261" s="143"/>
      <c r="F261" s="98"/>
      <c r="G261" s="426"/>
      <c r="H261" s="428"/>
    </row>
    <row r="262" spans="1:8" ht="63.75" customHeight="1">
      <c r="A262" s="65" t="s">
        <v>637</v>
      </c>
      <c r="B262" s="22" t="s">
        <v>631</v>
      </c>
      <c r="C262" s="64">
        <v>200</v>
      </c>
      <c r="D262" s="98"/>
      <c r="E262" s="143"/>
      <c r="F262" s="98"/>
      <c r="G262" s="426"/>
      <c r="H262" s="428"/>
    </row>
    <row r="263" spans="1:8" ht="47.25">
      <c r="A263" s="65" t="s">
        <v>922</v>
      </c>
      <c r="B263" s="22" t="s">
        <v>953</v>
      </c>
      <c r="C263" s="64">
        <v>200</v>
      </c>
      <c r="D263" s="98"/>
      <c r="E263" s="143">
        <v>816533.33</v>
      </c>
      <c r="F263" s="98">
        <v>816533.33</v>
      </c>
      <c r="G263" s="426">
        <v>816533.33</v>
      </c>
      <c r="H263" s="428">
        <v>816533.33</v>
      </c>
    </row>
    <row r="264" spans="1:8" ht="67.5" customHeight="1">
      <c r="A264" s="65" t="s">
        <v>639</v>
      </c>
      <c r="B264" s="22" t="s">
        <v>638</v>
      </c>
      <c r="C264" s="64">
        <v>200</v>
      </c>
      <c r="D264" s="98"/>
      <c r="E264" s="143">
        <v>119659.25</v>
      </c>
      <c r="F264" s="98">
        <v>119659.25</v>
      </c>
      <c r="G264" s="426">
        <v>119659.25</v>
      </c>
      <c r="H264" s="428">
        <v>119659.25</v>
      </c>
    </row>
    <row r="265" spans="1:8" ht="48" customHeight="1">
      <c r="A265" s="65" t="s">
        <v>754</v>
      </c>
      <c r="B265" s="22" t="s">
        <v>753</v>
      </c>
      <c r="C265" s="64">
        <v>200</v>
      </c>
      <c r="D265" s="98"/>
      <c r="E265" s="143"/>
      <c r="F265" s="98"/>
      <c r="G265" s="426"/>
      <c r="H265" s="428"/>
    </row>
    <row r="266" spans="1:8" ht="47.25">
      <c r="A266" s="65" t="s">
        <v>766</v>
      </c>
      <c r="B266" s="22" t="s">
        <v>765</v>
      </c>
      <c r="C266" s="64">
        <v>200</v>
      </c>
      <c r="D266" s="98"/>
      <c r="E266" s="143">
        <f>2032392.74-69684.75</f>
        <v>1962707.99</v>
      </c>
      <c r="F266" s="98">
        <v>0</v>
      </c>
      <c r="G266" s="426">
        <f>2032392.74-69684.75</f>
        <v>1962707.99</v>
      </c>
      <c r="H266" s="428">
        <v>0</v>
      </c>
    </row>
    <row r="267" spans="1:8" ht="111.75" customHeight="1">
      <c r="A267" s="66" t="s">
        <v>1333</v>
      </c>
      <c r="B267" s="22" t="s">
        <v>1353</v>
      </c>
      <c r="C267" s="64">
        <v>800</v>
      </c>
      <c r="D267" s="98"/>
      <c r="E267" s="143">
        <v>69684.75</v>
      </c>
      <c r="F267" s="98">
        <v>0</v>
      </c>
      <c r="G267" s="426">
        <v>69684.75</v>
      </c>
      <c r="H267" s="428">
        <v>0</v>
      </c>
    </row>
    <row r="268" spans="1:8" ht="31.5" customHeight="1">
      <c r="A268" s="235" t="s">
        <v>1351</v>
      </c>
      <c r="B268" s="22" t="s">
        <v>1396</v>
      </c>
      <c r="C268" s="64">
        <v>800</v>
      </c>
      <c r="D268" s="98"/>
      <c r="E268" s="98">
        <v>300000</v>
      </c>
      <c r="F268" s="98">
        <v>50000</v>
      </c>
      <c r="G268" s="428">
        <v>300000</v>
      </c>
      <c r="H268" s="428">
        <v>50000</v>
      </c>
    </row>
    <row r="269" spans="1:8" ht="126.75" customHeight="1">
      <c r="A269" s="65" t="s">
        <v>624</v>
      </c>
      <c r="B269" s="22" t="s">
        <v>622</v>
      </c>
      <c r="C269" s="64">
        <v>800</v>
      </c>
      <c r="D269" s="98"/>
      <c r="E269" s="98"/>
      <c r="F269" s="98"/>
      <c r="G269" s="428"/>
      <c r="H269" s="428"/>
    </row>
    <row r="270" spans="1:8" ht="109.5" customHeight="1">
      <c r="A270" s="65" t="s">
        <v>612</v>
      </c>
      <c r="B270" s="22" t="s">
        <v>476</v>
      </c>
      <c r="C270" s="64">
        <v>200</v>
      </c>
      <c r="D270" s="98">
        <v>59850</v>
      </c>
      <c r="E270" s="143">
        <v>42939</v>
      </c>
      <c r="F270" s="98">
        <v>42939</v>
      </c>
      <c r="G270" s="426">
        <v>42939</v>
      </c>
      <c r="H270" s="428">
        <v>42939</v>
      </c>
    </row>
    <row r="271" spans="1:8" ht="111.75" customHeight="1">
      <c r="A271" s="65" t="s">
        <v>613</v>
      </c>
      <c r="B271" s="22" t="s">
        <v>751</v>
      </c>
      <c r="C271" s="64">
        <v>200</v>
      </c>
      <c r="D271" s="98">
        <v>63180</v>
      </c>
      <c r="E271" s="98">
        <v>0</v>
      </c>
      <c r="F271" s="98">
        <v>0</v>
      </c>
      <c r="G271" s="428">
        <v>0</v>
      </c>
      <c r="H271" s="428">
        <v>0</v>
      </c>
    </row>
    <row r="272" spans="1:8" ht="49.5" customHeight="1">
      <c r="A272" s="65" t="s">
        <v>477</v>
      </c>
      <c r="B272" s="22" t="s">
        <v>478</v>
      </c>
      <c r="C272" s="64">
        <v>600</v>
      </c>
      <c r="D272" s="98"/>
      <c r="E272" s="98"/>
      <c r="F272" s="98"/>
      <c r="G272" s="428"/>
      <c r="H272" s="428"/>
    </row>
    <row r="273" spans="1:8" ht="78.75">
      <c r="A273" s="65" t="s">
        <v>926</v>
      </c>
      <c r="B273" s="22" t="s">
        <v>479</v>
      </c>
      <c r="C273" s="64">
        <v>300</v>
      </c>
      <c r="D273" s="98"/>
      <c r="E273" s="98">
        <v>1035000</v>
      </c>
      <c r="F273" s="98">
        <v>1035000</v>
      </c>
      <c r="G273" s="428">
        <v>1035000</v>
      </c>
      <c r="H273" s="428">
        <v>1035000</v>
      </c>
    </row>
    <row r="274" spans="1:8" ht="161.25" customHeight="1">
      <c r="A274" s="71" t="s">
        <v>480</v>
      </c>
      <c r="B274" s="22" t="s">
        <v>481</v>
      </c>
      <c r="C274" s="64">
        <v>600</v>
      </c>
      <c r="D274" s="98">
        <v>208560</v>
      </c>
      <c r="E274" s="98">
        <v>6733037</v>
      </c>
      <c r="F274" s="98">
        <v>6733037</v>
      </c>
      <c r="G274" s="428">
        <v>6733037</v>
      </c>
      <c r="H274" s="428">
        <v>6733037</v>
      </c>
    </row>
    <row r="275" spans="1:8" ht="47.25">
      <c r="A275" s="160" t="s">
        <v>482</v>
      </c>
      <c r="B275" s="24" t="s">
        <v>483</v>
      </c>
      <c r="C275" s="230"/>
      <c r="D275" s="165">
        <f aca="true" t="shared" si="8" ref="D275:H278">D276</f>
        <v>0</v>
      </c>
      <c r="E275" s="165">
        <f t="shared" si="8"/>
        <v>9739</v>
      </c>
      <c r="F275" s="165">
        <f>F276</f>
        <v>42414</v>
      </c>
      <c r="G275" s="424">
        <f t="shared" si="8"/>
        <v>5490</v>
      </c>
      <c r="H275" s="424">
        <f>H276</f>
        <v>0</v>
      </c>
    </row>
    <row r="276" spans="1:8" ht="15.75">
      <c r="A276" s="161" t="s">
        <v>2</v>
      </c>
      <c r="B276" s="21" t="s">
        <v>484</v>
      </c>
      <c r="C276" s="63"/>
      <c r="D276" s="104">
        <f t="shared" si="8"/>
        <v>0</v>
      </c>
      <c r="E276" s="104">
        <f t="shared" si="8"/>
        <v>9739</v>
      </c>
      <c r="F276" s="104">
        <f t="shared" si="8"/>
        <v>42414</v>
      </c>
      <c r="G276" s="425">
        <f t="shared" si="8"/>
        <v>5490</v>
      </c>
      <c r="H276" s="425">
        <f t="shared" si="8"/>
        <v>0</v>
      </c>
    </row>
    <row r="277" spans="1:8" ht="47.25">
      <c r="A277" s="65" t="s">
        <v>895</v>
      </c>
      <c r="B277" s="22" t="s">
        <v>485</v>
      </c>
      <c r="C277" s="64">
        <v>500</v>
      </c>
      <c r="D277" s="98"/>
      <c r="E277" s="98">
        <v>9739</v>
      </c>
      <c r="F277" s="98">
        <v>42414</v>
      </c>
      <c r="G277" s="428">
        <v>5490</v>
      </c>
      <c r="H277" s="428">
        <v>0</v>
      </c>
    </row>
    <row r="278" spans="1:8" ht="50.25" customHeight="1">
      <c r="A278" s="160" t="s">
        <v>488</v>
      </c>
      <c r="B278" s="24" t="s">
        <v>486</v>
      </c>
      <c r="C278" s="230"/>
      <c r="D278" s="165" t="e">
        <f t="shared" si="8"/>
        <v>#REF!</v>
      </c>
      <c r="E278" s="165">
        <f t="shared" si="8"/>
        <v>0</v>
      </c>
      <c r="F278" s="165">
        <f>F279</f>
        <v>0</v>
      </c>
      <c r="G278" s="424">
        <f t="shared" si="8"/>
        <v>0</v>
      </c>
      <c r="H278" s="424">
        <f>H279</f>
        <v>0</v>
      </c>
    </row>
    <row r="279" spans="1:8" ht="15.75">
      <c r="A279" s="161" t="s">
        <v>2</v>
      </c>
      <c r="B279" s="21" t="s">
        <v>487</v>
      </c>
      <c r="C279" s="63"/>
      <c r="D279" s="104" t="e">
        <f>#REF!</f>
        <v>#REF!</v>
      </c>
      <c r="E279" s="104">
        <f>E280</f>
        <v>0</v>
      </c>
      <c r="F279" s="104">
        <f>SUM(F280:F280)</f>
        <v>0</v>
      </c>
      <c r="G279" s="425">
        <f>G280</f>
        <v>0</v>
      </c>
      <c r="H279" s="425">
        <f>SUM(H280:H280)</f>
        <v>0</v>
      </c>
    </row>
    <row r="280" spans="1:8" ht="63">
      <c r="A280" s="65" t="s">
        <v>740</v>
      </c>
      <c r="B280" s="22" t="s">
        <v>893</v>
      </c>
      <c r="C280" s="64">
        <v>600</v>
      </c>
      <c r="D280" s="98"/>
      <c r="E280" s="98"/>
      <c r="F280" s="98"/>
      <c r="G280" s="428"/>
      <c r="H280" s="428"/>
    </row>
    <row r="281" spans="1:8" ht="15.75">
      <c r="A281" s="160" t="s">
        <v>173</v>
      </c>
      <c r="B281" s="242"/>
      <c r="C281" s="242"/>
      <c r="D281" s="243" t="e">
        <f>D10+D17+D54+D71+D84+D103+D108+D129+D162+D170+D216+D248+D257+#REF!+#REF!+#REF!+D275</f>
        <v>#REF!</v>
      </c>
      <c r="E281" s="243">
        <f>E10+E17+E54+E71+E84+E103+E108+E129+E162+E170+E216+E248+E257+E275+E278</f>
        <v>300349844.33</v>
      </c>
      <c r="F281" s="243">
        <f>F10+F17+F54+F71+F84+F103+F108+F129+F162+F170+F216+F248+F257+F275+F278</f>
        <v>295178531.6</v>
      </c>
      <c r="G281" s="431">
        <f>G10+G17+G54+G71+G84+G103+G108+G129+G162+G170+G216+G248+G257+G275+G278</f>
        <v>302446309.33</v>
      </c>
      <c r="H281" s="431">
        <f>H10+H17+H54+H71+H84+H103+H108+H129+H162+H170+H216+H248+H257+H275+H278</f>
        <v>293724243.6</v>
      </c>
    </row>
    <row r="283" spans="5:8" ht="12.75">
      <c r="E283" s="193"/>
      <c r="F283" s="193"/>
      <c r="G283" s="434"/>
      <c r="H283" s="434"/>
    </row>
    <row r="284" spans="5:6" ht="23.25" customHeight="1">
      <c r="E284" s="193">
        <f>G281-E281</f>
        <v>2096465</v>
      </c>
      <c r="F284" s="193">
        <f>H281-F281</f>
        <v>-1454288</v>
      </c>
    </row>
  </sheetData>
  <sheetProtection/>
  <mergeCells count="10">
    <mergeCell ref="G7:H7"/>
    <mergeCell ref="A1:F1"/>
    <mergeCell ref="A2:F2"/>
    <mergeCell ref="A3:F3"/>
    <mergeCell ref="A4:F4"/>
    <mergeCell ref="A5:F5"/>
    <mergeCell ref="A7:A8"/>
    <mergeCell ref="B7:B8"/>
    <mergeCell ref="C7:C8"/>
    <mergeCell ref="D7:F7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0"/>
  <sheetViews>
    <sheetView view="pageBreakPreview" zoomScaleNormal="80" zoomScaleSheetLayoutView="100" zoomScalePageLayoutView="0" workbookViewId="0" topLeftCell="A64">
      <selection activeCell="A14" sqref="A14:IV14"/>
    </sheetView>
  </sheetViews>
  <sheetFormatPr defaultColWidth="9.140625" defaultRowHeight="12.75"/>
  <cols>
    <col min="1" max="1" width="60.00390625" style="130" customWidth="1"/>
    <col min="2" max="3" width="14.00390625" style="130" customWidth="1"/>
    <col min="4" max="4" width="5.7109375" style="130" customWidth="1"/>
    <col min="5" max="6" width="5.140625" style="130" customWidth="1"/>
    <col min="7" max="7" width="15.28125" style="130" customWidth="1"/>
    <col min="8" max="8" width="14.421875" style="130" customWidth="1"/>
    <col min="9" max="9" width="15.140625" style="130" hidden="1" customWidth="1"/>
    <col min="10" max="10" width="19.00390625" style="474" customWidth="1"/>
    <col min="11" max="11" width="20.57421875" style="348" customWidth="1"/>
    <col min="12" max="12" width="18.421875" style="212" hidden="1" customWidth="1"/>
    <col min="13" max="13" width="22.28125" style="130" hidden="1" customWidth="1"/>
    <col min="14" max="14" width="13.8515625" style="130" hidden="1" customWidth="1"/>
    <col min="15" max="15" width="15.7109375" style="130" customWidth="1"/>
    <col min="16" max="16" width="14.421875" style="130" customWidth="1"/>
    <col min="17" max="16384" width="9.140625" style="130" customWidth="1"/>
  </cols>
  <sheetData>
    <row r="1" spans="1:11" ht="15.75">
      <c r="A1" s="17"/>
      <c r="B1" s="541" t="s">
        <v>320</v>
      </c>
      <c r="C1" s="541"/>
      <c r="D1" s="541"/>
      <c r="E1" s="541"/>
      <c r="F1" s="541"/>
      <c r="G1" s="541"/>
      <c r="H1" s="541"/>
      <c r="I1" s="541"/>
      <c r="J1" s="541"/>
      <c r="K1" s="541"/>
    </row>
    <row r="2" spans="1:11" ht="15.75">
      <c r="A2" s="18"/>
      <c r="B2" s="541" t="s">
        <v>157</v>
      </c>
      <c r="C2" s="541"/>
      <c r="D2" s="541"/>
      <c r="E2" s="541"/>
      <c r="F2" s="541"/>
      <c r="G2" s="541"/>
      <c r="H2" s="541"/>
      <c r="I2" s="541"/>
      <c r="J2" s="541"/>
      <c r="K2" s="541"/>
    </row>
    <row r="3" spans="1:11" ht="15.75">
      <c r="A3" s="19"/>
      <c r="B3" s="541" t="s">
        <v>1458</v>
      </c>
      <c r="C3" s="541"/>
      <c r="D3" s="541"/>
      <c r="E3" s="541"/>
      <c r="F3" s="541"/>
      <c r="G3" s="541"/>
      <c r="H3" s="541"/>
      <c r="I3" s="541"/>
      <c r="J3" s="541"/>
      <c r="K3" s="541"/>
    </row>
    <row r="4" spans="1:10" ht="15.75">
      <c r="A4" s="19"/>
      <c r="B4" s="19"/>
      <c r="C4" s="19"/>
      <c r="D4" s="19"/>
      <c r="E4" s="19"/>
      <c r="F4" s="19"/>
      <c r="G4" s="19"/>
      <c r="H4" s="19"/>
      <c r="I4" s="19"/>
      <c r="J4" s="466"/>
    </row>
    <row r="5" spans="1:11" ht="12.75">
      <c r="A5" s="508" t="s">
        <v>1307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21" customHeight="1">
      <c r="A6" s="508"/>
      <c r="B6" s="508"/>
      <c r="C6" s="508"/>
      <c r="D6" s="508"/>
      <c r="E6" s="508"/>
      <c r="F6" s="508"/>
      <c r="G6" s="508"/>
      <c r="H6" s="508"/>
      <c r="I6" s="508"/>
      <c r="J6" s="508"/>
      <c r="K6" s="508"/>
    </row>
    <row r="7" spans="1:11" ht="15.75">
      <c r="A7" s="19"/>
      <c r="B7" s="19"/>
      <c r="C7" s="19"/>
      <c r="D7" s="19"/>
      <c r="E7" s="19"/>
      <c r="F7" s="19"/>
      <c r="G7" s="19"/>
      <c r="H7" s="19"/>
      <c r="I7" s="19"/>
      <c r="J7" s="466"/>
      <c r="K7" s="40"/>
    </row>
    <row r="8" spans="1:12" ht="18" customHeight="1">
      <c r="A8" s="540" t="s">
        <v>159</v>
      </c>
      <c r="B8" s="540" t="s">
        <v>158</v>
      </c>
      <c r="C8" s="540" t="s">
        <v>282</v>
      </c>
      <c r="D8" s="540" t="s">
        <v>283</v>
      </c>
      <c r="E8" s="540"/>
      <c r="F8" s="540"/>
      <c r="G8" s="540"/>
      <c r="H8" s="540" t="s">
        <v>284</v>
      </c>
      <c r="I8" s="535" t="s">
        <v>643</v>
      </c>
      <c r="J8" s="535"/>
      <c r="K8" s="535"/>
      <c r="L8" s="535"/>
    </row>
    <row r="9" spans="1:13" ht="31.5">
      <c r="A9" s="540"/>
      <c r="B9" s="540"/>
      <c r="C9" s="540"/>
      <c r="D9" s="244" t="s">
        <v>103</v>
      </c>
      <c r="E9" s="244" t="s">
        <v>104</v>
      </c>
      <c r="F9" s="244" t="s">
        <v>490</v>
      </c>
      <c r="G9" s="244" t="s">
        <v>491</v>
      </c>
      <c r="H9" s="540"/>
      <c r="I9" s="227" t="s">
        <v>228</v>
      </c>
      <c r="J9" s="467" t="s">
        <v>619</v>
      </c>
      <c r="K9" s="277" t="s">
        <v>229</v>
      </c>
      <c r="L9" s="213" t="s">
        <v>1330</v>
      </c>
      <c r="M9" s="538" t="s">
        <v>1466</v>
      </c>
    </row>
    <row r="10" spans="1:13" ht="15.75">
      <c r="A10" s="245" t="s">
        <v>69</v>
      </c>
      <c r="B10" s="245" t="s">
        <v>60</v>
      </c>
      <c r="C10" s="245" t="s">
        <v>233</v>
      </c>
      <c r="D10" s="245" t="s">
        <v>144</v>
      </c>
      <c r="E10" s="245" t="s">
        <v>93</v>
      </c>
      <c r="F10" s="245">
        <v>6</v>
      </c>
      <c r="G10" s="245">
        <v>7</v>
      </c>
      <c r="H10" s="245">
        <v>8</v>
      </c>
      <c r="I10" s="245" t="s">
        <v>94</v>
      </c>
      <c r="J10" s="173">
        <v>9</v>
      </c>
      <c r="K10" s="349">
        <v>10</v>
      </c>
      <c r="L10" s="213"/>
      <c r="M10" s="539"/>
    </row>
    <row r="11" spans="1:13" ht="15.75">
      <c r="A11" s="247" t="s">
        <v>155</v>
      </c>
      <c r="B11" s="248" t="s">
        <v>154</v>
      </c>
      <c r="C11" s="248"/>
      <c r="D11" s="248"/>
      <c r="E11" s="248"/>
      <c r="F11" s="248"/>
      <c r="G11" s="248"/>
      <c r="H11" s="248"/>
      <c r="I11" s="496" t="e">
        <f>I12+I48+I51+I77+I100+I106+I123+I138</f>
        <v>#REF!</v>
      </c>
      <c r="J11" s="468">
        <f>J12+J48+J51+J77+J100+J106+J123+J138</f>
        <v>37955791</v>
      </c>
      <c r="K11" s="218">
        <f>K12+K48+K51+K77+K100+K106+K123+K138</f>
        <v>125331584.52</v>
      </c>
      <c r="L11" s="218" t="e">
        <f>L12+L48+L51+L77+L100+L106+L123+L138</f>
        <v>#REF!</v>
      </c>
      <c r="M11" s="218">
        <f>M12+M48+M51+M77+M100+M106+M123+M138</f>
        <v>87375793.52</v>
      </c>
    </row>
    <row r="12" spans="1:14" ht="15.75">
      <c r="A12" s="249" t="s">
        <v>285</v>
      </c>
      <c r="B12" s="24" t="s">
        <v>154</v>
      </c>
      <c r="C12" s="24" t="s">
        <v>286</v>
      </c>
      <c r="D12" s="24"/>
      <c r="E12" s="24"/>
      <c r="F12" s="24"/>
      <c r="G12" s="24"/>
      <c r="H12" s="24"/>
      <c r="I12" s="72">
        <f>I15+I22</f>
        <v>-1006</v>
      </c>
      <c r="J12" s="293">
        <f>J13+J15+J22</f>
        <v>234236.62000000002</v>
      </c>
      <c r="K12" s="25">
        <f>K13+K15+K22</f>
        <v>41883016.300000004</v>
      </c>
      <c r="L12" s="25" t="e">
        <f>L13+L15+L22+#REF!</f>
        <v>#REF!</v>
      </c>
      <c r="M12" s="25">
        <f>M13+M15+M22</f>
        <v>41648779.68000001</v>
      </c>
      <c r="N12" s="476">
        <f aca="true" t="shared" si="0" ref="N12:N68">M12+J12</f>
        <v>41883016.300000004</v>
      </c>
    </row>
    <row r="13" spans="1:16" ht="47.25">
      <c r="A13" s="249" t="s">
        <v>253</v>
      </c>
      <c r="B13" s="24" t="s">
        <v>154</v>
      </c>
      <c r="C13" s="24" t="s">
        <v>129</v>
      </c>
      <c r="D13" s="24"/>
      <c r="E13" s="24"/>
      <c r="F13" s="24"/>
      <c r="G13" s="24"/>
      <c r="H13" s="24"/>
      <c r="I13" s="72">
        <f>I14</f>
        <v>0</v>
      </c>
      <c r="J13" s="293">
        <f>J14</f>
        <v>0</v>
      </c>
      <c r="K13" s="25">
        <f>K14</f>
        <v>1298844</v>
      </c>
      <c r="L13" s="25">
        <f>L14</f>
        <v>54770</v>
      </c>
      <c r="M13" s="25">
        <f>M14</f>
        <v>1298844</v>
      </c>
      <c r="N13" s="476">
        <f t="shared" si="0"/>
        <v>1298844</v>
      </c>
      <c r="O13" s="292"/>
      <c r="P13" s="193"/>
    </row>
    <row r="14" spans="1:16" ht="81.75" customHeight="1">
      <c r="A14" s="65" t="s">
        <v>554</v>
      </c>
      <c r="B14" s="22" t="s">
        <v>154</v>
      </c>
      <c r="C14" s="22" t="s">
        <v>129</v>
      </c>
      <c r="D14" s="22" t="s">
        <v>120</v>
      </c>
      <c r="E14" s="22" t="s">
        <v>60</v>
      </c>
      <c r="F14" s="22" t="s">
        <v>70</v>
      </c>
      <c r="G14" s="141" t="s">
        <v>493</v>
      </c>
      <c r="H14" s="22" t="s">
        <v>164</v>
      </c>
      <c r="I14" s="87"/>
      <c r="J14" s="170"/>
      <c r="K14" s="250">
        <v>1298844</v>
      </c>
      <c r="L14" s="213">
        <v>54770</v>
      </c>
      <c r="M14" s="250">
        <v>1298844</v>
      </c>
      <c r="N14" s="476">
        <f t="shared" si="0"/>
        <v>1298844</v>
      </c>
      <c r="O14" s="292"/>
      <c r="P14" s="193"/>
    </row>
    <row r="15" spans="1:16" ht="67.5" customHeight="1">
      <c r="A15" s="249" t="s">
        <v>287</v>
      </c>
      <c r="B15" s="24" t="s">
        <v>154</v>
      </c>
      <c r="C15" s="24" t="s">
        <v>288</v>
      </c>
      <c r="D15" s="24"/>
      <c r="E15" s="24"/>
      <c r="F15" s="24"/>
      <c r="G15" s="24"/>
      <c r="H15" s="24"/>
      <c r="I15" s="72">
        <f>SUM(I16:I21)</f>
        <v>-635.0999999999999</v>
      </c>
      <c r="J15" s="293">
        <f>SUM(J16:J21)</f>
        <v>344.92</v>
      </c>
      <c r="K15" s="25">
        <f>SUM(K16:K21)</f>
        <v>21780609.680000003</v>
      </c>
      <c r="L15" s="25">
        <f>SUM(L16:L21)</f>
        <v>919918.3900000006</v>
      </c>
      <c r="M15" s="25">
        <f>SUM(M16:M21)</f>
        <v>21780264.76</v>
      </c>
      <c r="N15" s="476">
        <f t="shared" si="0"/>
        <v>21780609.680000003</v>
      </c>
      <c r="O15" s="292"/>
      <c r="P15" s="193"/>
    </row>
    <row r="16" spans="1:16" ht="99" customHeight="1">
      <c r="A16" s="65" t="s">
        <v>489</v>
      </c>
      <c r="B16" s="23" t="s">
        <v>154</v>
      </c>
      <c r="C16" s="23" t="s">
        <v>288</v>
      </c>
      <c r="D16" s="23" t="s">
        <v>120</v>
      </c>
      <c r="E16" s="23" t="s">
        <v>60</v>
      </c>
      <c r="F16" s="23" t="s">
        <v>120</v>
      </c>
      <c r="G16" s="141" t="s">
        <v>492</v>
      </c>
      <c r="H16" s="23" t="s">
        <v>164</v>
      </c>
      <c r="I16" s="88">
        <v>446.5</v>
      </c>
      <c r="J16" s="170"/>
      <c r="K16" s="250">
        <v>19682854.39</v>
      </c>
      <c r="L16" s="213">
        <v>919918.3900000006</v>
      </c>
      <c r="M16" s="250">
        <v>19682854.39</v>
      </c>
      <c r="N16" s="476">
        <f t="shared" si="0"/>
        <v>19682854.39</v>
      </c>
      <c r="O16" s="292"/>
      <c r="P16" s="193"/>
    </row>
    <row r="17" spans="1:16" ht="54" customHeight="1">
      <c r="A17" s="65" t="s">
        <v>592</v>
      </c>
      <c r="B17" s="23" t="s">
        <v>154</v>
      </c>
      <c r="C17" s="23" t="s">
        <v>288</v>
      </c>
      <c r="D17" s="23" t="s">
        <v>120</v>
      </c>
      <c r="E17" s="23" t="s">
        <v>60</v>
      </c>
      <c r="F17" s="23" t="s">
        <v>120</v>
      </c>
      <c r="G17" s="141" t="s">
        <v>492</v>
      </c>
      <c r="H17" s="23" t="s">
        <v>165</v>
      </c>
      <c r="I17" s="88">
        <v>-1281.6</v>
      </c>
      <c r="J17" s="170"/>
      <c r="K17" s="143">
        <f>1585184.56+21324.95-154.85</f>
        <v>1606354.66</v>
      </c>
      <c r="L17" s="213"/>
      <c r="M17" s="143">
        <f>1585184.56+21324.95-154.85</f>
        <v>1606354.66</v>
      </c>
      <c r="N17" s="476">
        <f t="shared" si="0"/>
        <v>1606354.66</v>
      </c>
      <c r="O17" s="292"/>
      <c r="P17" s="193"/>
    </row>
    <row r="18" spans="1:16" ht="50.25" customHeight="1">
      <c r="A18" s="65" t="s">
        <v>1028</v>
      </c>
      <c r="B18" s="23" t="s">
        <v>154</v>
      </c>
      <c r="C18" s="23" t="s">
        <v>288</v>
      </c>
      <c r="D18" s="23" t="s">
        <v>120</v>
      </c>
      <c r="E18" s="23" t="s">
        <v>60</v>
      </c>
      <c r="F18" s="23" t="s">
        <v>120</v>
      </c>
      <c r="G18" s="141" t="s">
        <v>492</v>
      </c>
      <c r="H18" s="23" t="s">
        <v>111</v>
      </c>
      <c r="I18" s="88"/>
      <c r="J18" s="170"/>
      <c r="K18" s="250"/>
      <c r="L18" s="213"/>
      <c r="M18" s="250"/>
      <c r="N18" s="476">
        <f t="shared" si="0"/>
        <v>0</v>
      </c>
      <c r="O18" s="292"/>
      <c r="P18" s="193"/>
    </row>
    <row r="19" spans="1:16" ht="34.5" customHeight="1">
      <c r="A19" s="65" t="s">
        <v>358</v>
      </c>
      <c r="B19" s="23" t="s">
        <v>154</v>
      </c>
      <c r="C19" s="23" t="s">
        <v>288</v>
      </c>
      <c r="D19" s="23" t="s">
        <v>120</v>
      </c>
      <c r="E19" s="23" t="s">
        <v>60</v>
      </c>
      <c r="F19" s="23" t="s">
        <v>120</v>
      </c>
      <c r="G19" s="141" t="s">
        <v>492</v>
      </c>
      <c r="H19" s="23" t="s">
        <v>166</v>
      </c>
      <c r="I19" s="88">
        <v>200</v>
      </c>
      <c r="J19" s="170"/>
      <c r="K19" s="250">
        <v>58000</v>
      </c>
      <c r="L19" s="213"/>
      <c r="M19" s="250">
        <v>58000</v>
      </c>
      <c r="N19" s="476">
        <f t="shared" si="0"/>
        <v>58000</v>
      </c>
      <c r="O19" s="292"/>
      <c r="P19" s="193"/>
    </row>
    <row r="20" spans="1:16" ht="119.25" customHeight="1">
      <c r="A20" s="65" t="s">
        <v>559</v>
      </c>
      <c r="B20" s="22" t="s">
        <v>154</v>
      </c>
      <c r="C20" s="22" t="s">
        <v>288</v>
      </c>
      <c r="D20" s="22" t="s">
        <v>232</v>
      </c>
      <c r="E20" s="22" t="s">
        <v>69</v>
      </c>
      <c r="F20" s="22" t="s">
        <v>120</v>
      </c>
      <c r="G20" s="141" t="s">
        <v>494</v>
      </c>
      <c r="H20" s="22" t="s">
        <v>164</v>
      </c>
      <c r="I20" s="87">
        <v>5.3</v>
      </c>
      <c r="J20" s="173">
        <v>344.92</v>
      </c>
      <c r="K20" s="250">
        <v>417080.92</v>
      </c>
      <c r="L20" s="213"/>
      <c r="M20" s="250">
        <v>416736</v>
      </c>
      <c r="N20" s="476">
        <f t="shared" si="0"/>
        <v>417080.92</v>
      </c>
      <c r="O20" s="292"/>
      <c r="P20" s="193"/>
    </row>
    <row r="21" spans="1:16" ht="63">
      <c r="A21" s="65" t="s">
        <v>601</v>
      </c>
      <c r="B21" s="22" t="s">
        <v>154</v>
      </c>
      <c r="C21" s="22" t="s">
        <v>288</v>
      </c>
      <c r="D21" s="22" t="s">
        <v>232</v>
      </c>
      <c r="E21" s="22" t="s">
        <v>69</v>
      </c>
      <c r="F21" s="22" t="s">
        <v>120</v>
      </c>
      <c r="G21" s="141" t="s">
        <v>494</v>
      </c>
      <c r="H21" s="22" t="s">
        <v>165</v>
      </c>
      <c r="I21" s="87">
        <v>-5.3</v>
      </c>
      <c r="J21" s="173"/>
      <c r="K21" s="250">
        <v>16319.71</v>
      </c>
      <c r="L21" s="213"/>
      <c r="M21" s="250">
        <v>16319.71</v>
      </c>
      <c r="N21" s="476">
        <f t="shared" si="0"/>
        <v>16319.71</v>
      </c>
      <c r="O21" s="292"/>
      <c r="P21" s="193"/>
    </row>
    <row r="22" spans="1:16" ht="15.75">
      <c r="A22" s="249" t="s">
        <v>316</v>
      </c>
      <c r="B22" s="24" t="s">
        <v>154</v>
      </c>
      <c r="C22" s="24" t="s">
        <v>317</v>
      </c>
      <c r="D22" s="24"/>
      <c r="E22" s="24"/>
      <c r="F22" s="24"/>
      <c r="G22" s="24"/>
      <c r="H22" s="24"/>
      <c r="I22" s="89">
        <f>SUM(I27:I36)</f>
        <v>-370.90000000000003</v>
      </c>
      <c r="J22" s="469">
        <f>SUM(J23:J47)</f>
        <v>233891.7</v>
      </c>
      <c r="K22" s="100">
        <f>SUM(K23:K47)</f>
        <v>18803562.62</v>
      </c>
      <c r="L22" s="100">
        <f>SUM(L23:L47)</f>
        <v>850089.94</v>
      </c>
      <c r="M22" s="100">
        <f>SUM(M23:M47)</f>
        <v>18569670.92</v>
      </c>
      <c r="N22" s="476">
        <f t="shared" si="0"/>
        <v>18803562.62</v>
      </c>
      <c r="O22" s="292"/>
      <c r="P22" s="193"/>
    </row>
    <row r="23" spans="1:16" ht="99.75" customHeight="1">
      <c r="A23" s="131" t="s">
        <v>974</v>
      </c>
      <c r="B23" s="23" t="s">
        <v>154</v>
      </c>
      <c r="C23" s="23" t="s">
        <v>317</v>
      </c>
      <c r="D23" s="23" t="s">
        <v>120</v>
      </c>
      <c r="E23" s="23" t="s">
        <v>144</v>
      </c>
      <c r="F23" s="23" t="s">
        <v>70</v>
      </c>
      <c r="G23" s="141" t="s">
        <v>562</v>
      </c>
      <c r="H23" s="23" t="s">
        <v>164</v>
      </c>
      <c r="I23" s="107"/>
      <c r="J23" s="470"/>
      <c r="K23" s="250">
        <v>3756619</v>
      </c>
      <c r="L23" s="213">
        <v>396826</v>
      </c>
      <c r="M23" s="250">
        <v>3756619</v>
      </c>
      <c r="N23" s="476">
        <f t="shared" si="0"/>
        <v>3756619</v>
      </c>
      <c r="P23" s="193"/>
    </row>
    <row r="24" spans="1:14" ht="63">
      <c r="A24" s="131" t="s">
        <v>972</v>
      </c>
      <c r="B24" s="23" t="s">
        <v>154</v>
      </c>
      <c r="C24" s="23" t="s">
        <v>317</v>
      </c>
      <c r="D24" s="23" t="s">
        <v>120</v>
      </c>
      <c r="E24" s="23" t="s">
        <v>144</v>
      </c>
      <c r="F24" s="23" t="s">
        <v>70</v>
      </c>
      <c r="G24" s="141" t="s">
        <v>562</v>
      </c>
      <c r="H24" s="23" t="s">
        <v>165</v>
      </c>
      <c r="I24" s="107"/>
      <c r="J24" s="470"/>
      <c r="K24" s="250">
        <v>3895158.76</v>
      </c>
      <c r="L24" s="213"/>
      <c r="M24" s="250">
        <v>3895158.76</v>
      </c>
      <c r="N24" s="476">
        <f t="shared" si="0"/>
        <v>3895158.76</v>
      </c>
    </row>
    <row r="25" spans="1:14" ht="47.25">
      <c r="A25" s="131" t="s">
        <v>973</v>
      </c>
      <c r="B25" s="23" t="s">
        <v>154</v>
      </c>
      <c r="C25" s="23" t="s">
        <v>317</v>
      </c>
      <c r="D25" s="23" t="s">
        <v>120</v>
      </c>
      <c r="E25" s="23" t="s">
        <v>144</v>
      </c>
      <c r="F25" s="23" t="s">
        <v>70</v>
      </c>
      <c r="G25" s="141" t="s">
        <v>562</v>
      </c>
      <c r="H25" s="23" t="s">
        <v>166</v>
      </c>
      <c r="I25" s="107"/>
      <c r="J25" s="470"/>
      <c r="K25" s="250">
        <v>133000</v>
      </c>
      <c r="L25" s="213"/>
      <c r="M25" s="250">
        <v>133000</v>
      </c>
      <c r="N25" s="476">
        <f t="shared" si="0"/>
        <v>133000</v>
      </c>
    </row>
    <row r="26" spans="1:14" ht="63">
      <c r="A26" s="65" t="s">
        <v>600</v>
      </c>
      <c r="B26" s="23" t="s">
        <v>154</v>
      </c>
      <c r="C26" s="23" t="s">
        <v>317</v>
      </c>
      <c r="D26" s="23" t="s">
        <v>232</v>
      </c>
      <c r="E26" s="23" t="s">
        <v>69</v>
      </c>
      <c r="F26" s="23" t="s">
        <v>120</v>
      </c>
      <c r="G26" s="141" t="s">
        <v>495</v>
      </c>
      <c r="H26" s="23" t="s">
        <v>165</v>
      </c>
      <c r="I26" s="107"/>
      <c r="J26" s="470"/>
      <c r="K26" s="250">
        <v>10666.5</v>
      </c>
      <c r="L26" s="213"/>
      <c r="M26" s="250">
        <v>10666.5</v>
      </c>
      <c r="N26" s="476">
        <f t="shared" si="0"/>
        <v>10666.5</v>
      </c>
    </row>
    <row r="27" spans="1:14" ht="63">
      <c r="A27" s="65" t="s">
        <v>598</v>
      </c>
      <c r="B27" s="23" t="s">
        <v>154</v>
      </c>
      <c r="C27" s="23" t="s">
        <v>317</v>
      </c>
      <c r="D27" s="23" t="s">
        <v>120</v>
      </c>
      <c r="E27" s="23" t="s">
        <v>60</v>
      </c>
      <c r="F27" s="23" t="s">
        <v>242</v>
      </c>
      <c r="G27" s="141" t="s">
        <v>496</v>
      </c>
      <c r="H27" s="23" t="s">
        <v>165</v>
      </c>
      <c r="I27" s="88">
        <v>50</v>
      </c>
      <c r="J27" s="170"/>
      <c r="K27" s="250">
        <v>562874.4</v>
      </c>
      <c r="L27" s="213"/>
      <c r="M27" s="250">
        <v>562874.4</v>
      </c>
      <c r="N27" s="476">
        <f t="shared" si="0"/>
        <v>562874.4</v>
      </c>
    </row>
    <row r="28" spans="1:14" ht="63">
      <c r="A28" s="235" t="s">
        <v>597</v>
      </c>
      <c r="B28" s="141" t="s">
        <v>154</v>
      </c>
      <c r="C28" s="141" t="s">
        <v>317</v>
      </c>
      <c r="D28" s="141" t="s">
        <v>120</v>
      </c>
      <c r="E28" s="141" t="s">
        <v>60</v>
      </c>
      <c r="F28" s="141" t="s">
        <v>120</v>
      </c>
      <c r="G28" s="141" t="s">
        <v>497</v>
      </c>
      <c r="H28" s="141" t="s">
        <v>165</v>
      </c>
      <c r="I28" s="172">
        <v>-13.8</v>
      </c>
      <c r="J28" s="260"/>
      <c r="K28" s="250">
        <f>360600-70300+6500</f>
        <v>296800</v>
      </c>
      <c r="L28" s="213"/>
      <c r="M28" s="250">
        <f>360600-70300+6500</f>
        <v>296800</v>
      </c>
      <c r="N28" s="476">
        <f t="shared" si="0"/>
        <v>296800</v>
      </c>
    </row>
    <row r="29" spans="1:14" ht="53.25" customHeight="1">
      <c r="A29" s="235" t="s">
        <v>621</v>
      </c>
      <c r="B29" s="261">
        <v>900</v>
      </c>
      <c r="C29" s="262" t="s">
        <v>317</v>
      </c>
      <c r="D29" s="262" t="s">
        <v>120</v>
      </c>
      <c r="E29" s="262" t="s">
        <v>60</v>
      </c>
      <c r="F29" s="262" t="s">
        <v>120</v>
      </c>
      <c r="G29" s="262" t="s">
        <v>1339</v>
      </c>
      <c r="H29" s="262" t="s">
        <v>111</v>
      </c>
      <c r="I29" s="172"/>
      <c r="J29" s="260"/>
      <c r="K29" s="250">
        <v>9000</v>
      </c>
      <c r="L29" s="223"/>
      <c r="M29" s="250">
        <v>9000</v>
      </c>
      <c r="N29" s="476">
        <f t="shared" si="0"/>
        <v>9000</v>
      </c>
    </row>
    <row r="30" spans="1:14" ht="62.25" customHeight="1">
      <c r="A30" s="71" t="s">
        <v>614</v>
      </c>
      <c r="B30" s="23" t="s">
        <v>154</v>
      </c>
      <c r="C30" s="23" t="s">
        <v>317</v>
      </c>
      <c r="D30" s="23" t="s">
        <v>70</v>
      </c>
      <c r="E30" s="23" t="s">
        <v>69</v>
      </c>
      <c r="F30" s="23" t="s">
        <v>70</v>
      </c>
      <c r="G30" s="141" t="s">
        <v>498</v>
      </c>
      <c r="H30" s="23" t="s">
        <v>165</v>
      </c>
      <c r="I30" s="88">
        <v>-360</v>
      </c>
      <c r="J30" s="170">
        <v>144891.7</v>
      </c>
      <c r="K30" s="250">
        <v>843718.79</v>
      </c>
      <c r="L30" s="213"/>
      <c r="M30" s="250">
        <v>698827.09</v>
      </c>
      <c r="N30" s="476">
        <f t="shared" si="0"/>
        <v>843718.79</v>
      </c>
    </row>
    <row r="31" spans="1:14" ht="79.5" customHeight="1">
      <c r="A31" s="71" t="s">
        <v>667</v>
      </c>
      <c r="B31" s="23" t="s">
        <v>154</v>
      </c>
      <c r="C31" s="23" t="s">
        <v>317</v>
      </c>
      <c r="D31" s="23" t="s">
        <v>61</v>
      </c>
      <c r="E31" s="23" t="s">
        <v>60</v>
      </c>
      <c r="F31" s="23" t="s">
        <v>120</v>
      </c>
      <c r="G31" s="141" t="s">
        <v>682</v>
      </c>
      <c r="H31" s="23" t="s">
        <v>165</v>
      </c>
      <c r="I31" s="88"/>
      <c r="J31" s="170">
        <v>89000</v>
      </c>
      <c r="K31" s="250">
        <v>1573164</v>
      </c>
      <c r="L31" s="213"/>
      <c r="M31" s="250">
        <v>1484164</v>
      </c>
      <c r="N31" s="476">
        <f t="shared" si="0"/>
        <v>1573164</v>
      </c>
    </row>
    <row r="32" spans="1:14" ht="112.5" customHeight="1">
      <c r="A32" s="66" t="s">
        <v>958</v>
      </c>
      <c r="B32" s="22" t="s">
        <v>154</v>
      </c>
      <c r="C32" s="22" t="s">
        <v>317</v>
      </c>
      <c r="D32" s="22" t="s">
        <v>120</v>
      </c>
      <c r="E32" s="22" t="s">
        <v>69</v>
      </c>
      <c r="F32" s="22" t="s">
        <v>70</v>
      </c>
      <c r="G32" s="141" t="s">
        <v>499</v>
      </c>
      <c r="H32" s="22" t="s">
        <v>165</v>
      </c>
      <c r="I32" s="87">
        <v>-47.1</v>
      </c>
      <c r="J32" s="173"/>
      <c r="K32" s="250">
        <f>145900-30000</f>
        <v>115900</v>
      </c>
      <c r="L32" s="213"/>
      <c r="M32" s="250">
        <f>145900-30000</f>
        <v>115900</v>
      </c>
      <c r="N32" s="476">
        <f t="shared" si="0"/>
        <v>115900</v>
      </c>
    </row>
    <row r="33" spans="1:14" ht="47.25">
      <c r="A33" s="234" t="s">
        <v>625</v>
      </c>
      <c r="B33" s="22" t="s">
        <v>154</v>
      </c>
      <c r="C33" s="22" t="s">
        <v>317</v>
      </c>
      <c r="D33" s="22" t="s">
        <v>163</v>
      </c>
      <c r="E33" s="22" t="s">
        <v>119</v>
      </c>
      <c r="F33" s="22" t="s">
        <v>500</v>
      </c>
      <c r="G33" s="141" t="s">
        <v>501</v>
      </c>
      <c r="H33" s="22" t="s">
        <v>166</v>
      </c>
      <c r="I33" s="87"/>
      <c r="J33" s="173"/>
      <c r="K33" s="250">
        <v>44022</v>
      </c>
      <c r="L33" s="213"/>
      <c r="M33" s="250">
        <v>44022</v>
      </c>
      <c r="N33" s="476">
        <f t="shared" si="0"/>
        <v>44022</v>
      </c>
    </row>
    <row r="34" spans="1:14" ht="111.75" customHeight="1">
      <c r="A34" s="234" t="s">
        <v>1007</v>
      </c>
      <c r="B34" s="22" t="s">
        <v>154</v>
      </c>
      <c r="C34" s="22" t="s">
        <v>317</v>
      </c>
      <c r="D34" s="22" t="s">
        <v>120</v>
      </c>
      <c r="E34" s="22" t="s">
        <v>233</v>
      </c>
      <c r="F34" s="22" t="s">
        <v>70</v>
      </c>
      <c r="G34" s="141" t="s">
        <v>502</v>
      </c>
      <c r="H34" s="22" t="s">
        <v>165</v>
      </c>
      <c r="I34" s="87"/>
      <c r="J34" s="173"/>
      <c r="K34" s="250">
        <v>292660.23</v>
      </c>
      <c r="L34" s="213"/>
      <c r="M34" s="250">
        <v>292660.23</v>
      </c>
      <c r="N34" s="476">
        <f t="shared" si="0"/>
        <v>292660.23</v>
      </c>
    </row>
    <row r="35" spans="1:14" ht="47.25">
      <c r="A35" s="66" t="s">
        <v>604</v>
      </c>
      <c r="B35" s="22" t="s">
        <v>154</v>
      </c>
      <c r="C35" s="22" t="s">
        <v>317</v>
      </c>
      <c r="D35" s="22" t="s">
        <v>61</v>
      </c>
      <c r="E35" s="22" t="s">
        <v>60</v>
      </c>
      <c r="F35" s="22" t="s">
        <v>120</v>
      </c>
      <c r="G35" s="141" t="s">
        <v>647</v>
      </c>
      <c r="H35" s="22" t="s">
        <v>165</v>
      </c>
      <c r="I35" s="87"/>
      <c r="J35" s="173"/>
      <c r="K35" s="250">
        <v>115836</v>
      </c>
      <c r="L35" s="213"/>
      <c r="M35" s="250">
        <v>115836</v>
      </c>
      <c r="N35" s="476">
        <f t="shared" si="0"/>
        <v>115836</v>
      </c>
    </row>
    <row r="36" spans="1:14" ht="78.75">
      <c r="A36" s="65" t="s">
        <v>639</v>
      </c>
      <c r="B36" s="22" t="s">
        <v>154</v>
      </c>
      <c r="C36" s="22" t="s">
        <v>317</v>
      </c>
      <c r="D36" s="22" t="s">
        <v>163</v>
      </c>
      <c r="E36" s="22" t="s">
        <v>119</v>
      </c>
      <c r="F36" s="22" t="s">
        <v>500</v>
      </c>
      <c r="G36" s="141" t="s">
        <v>640</v>
      </c>
      <c r="H36" s="22" t="s">
        <v>165</v>
      </c>
      <c r="I36" s="87"/>
      <c r="J36" s="173"/>
      <c r="K36" s="250">
        <v>119659.25</v>
      </c>
      <c r="L36" s="213"/>
      <c r="M36" s="250">
        <v>119659.25</v>
      </c>
      <c r="N36" s="476">
        <f t="shared" si="0"/>
        <v>119659.25</v>
      </c>
    </row>
    <row r="37" spans="1:14" ht="50.25" customHeight="1">
      <c r="A37" s="65" t="s">
        <v>922</v>
      </c>
      <c r="B37" s="22" t="s">
        <v>154</v>
      </c>
      <c r="C37" s="22" t="s">
        <v>317</v>
      </c>
      <c r="D37" s="22" t="s">
        <v>163</v>
      </c>
      <c r="E37" s="22" t="s">
        <v>119</v>
      </c>
      <c r="F37" s="22" t="s">
        <v>500</v>
      </c>
      <c r="G37" s="141" t="s">
        <v>971</v>
      </c>
      <c r="H37" s="22" t="s">
        <v>165</v>
      </c>
      <c r="I37" s="87"/>
      <c r="J37" s="173"/>
      <c r="K37" s="250">
        <v>816533.33</v>
      </c>
      <c r="L37" s="213"/>
      <c r="M37" s="250">
        <v>816533.33</v>
      </c>
      <c r="N37" s="476">
        <f t="shared" si="0"/>
        <v>816533.33</v>
      </c>
    </row>
    <row r="38" spans="1:14" ht="93.75" customHeight="1">
      <c r="A38" s="71" t="s">
        <v>986</v>
      </c>
      <c r="B38" s="22" t="s">
        <v>154</v>
      </c>
      <c r="C38" s="22" t="s">
        <v>317</v>
      </c>
      <c r="D38" s="22">
        <v>11</v>
      </c>
      <c r="E38" s="22" t="s">
        <v>60</v>
      </c>
      <c r="F38" s="22" t="s">
        <v>120</v>
      </c>
      <c r="G38" s="141" t="s">
        <v>697</v>
      </c>
      <c r="H38" s="22" t="s">
        <v>164</v>
      </c>
      <c r="I38" s="87"/>
      <c r="J38" s="173"/>
      <c r="K38" s="250">
        <v>15000</v>
      </c>
      <c r="L38" s="213"/>
      <c r="M38" s="250">
        <v>15000</v>
      </c>
      <c r="N38" s="476">
        <f t="shared" si="0"/>
        <v>15000</v>
      </c>
    </row>
    <row r="39" spans="1:14" ht="66.75" customHeight="1">
      <c r="A39" s="71" t="s">
        <v>987</v>
      </c>
      <c r="B39" s="22" t="s">
        <v>154</v>
      </c>
      <c r="C39" s="22" t="s">
        <v>317</v>
      </c>
      <c r="D39" s="22">
        <v>11</v>
      </c>
      <c r="E39" s="22" t="s">
        <v>60</v>
      </c>
      <c r="F39" s="22" t="s">
        <v>120</v>
      </c>
      <c r="G39" s="141" t="s">
        <v>988</v>
      </c>
      <c r="H39" s="22" t="s">
        <v>165</v>
      </c>
      <c r="I39" s="87"/>
      <c r="J39" s="173"/>
      <c r="K39" s="250">
        <v>5000</v>
      </c>
      <c r="L39" s="213"/>
      <c r="M39" s="250">
        <v>5000</v>
      </c>
      <c r="N39" s="476">
        <f t="shared" si="0"/>
        <v>5000</v>
      </c>
    </row>
    <row r="40" spans="1:14" ht="63" customHeight="1">
      <c r="A40" s="71" t="s">
        <v>954</v>
      </c>
      <c r="B40" s="22" t="s">
        <v>154</v>
      </c>
      <c r="C40" s="22" t="s">
        <v>317</v>
      </c>
      <c r="D40" s="22">
        <v>11</v>
      </c>
      <c r="E40" s="22" t="s">
        <v>60</v>
      </c>
      <c r="F40" s="22" t="s">
        <v>120</v>
      </c>
      <c r="G40" s="141" t="s">
        <v>959</v>
      </c>
      <c r="H40" s="22" t="s">
        <v>165</v>
      </c>
      <c r="I40" s="87"/>
      <c r="J40" s="173"/>
      <c r="K40" s="250">
        <v>37400</v>
      </c>
      <c r="L40" s="213"/>
      <c r="M40" s="250">
        <v>37400</v>
      </c>
      <c r="N40" s="476">
        <f t="shared" si="0"/>
        <v>37400</v>
      </c>
    </row>
    <row r="41" spans="1:14" ht="52.5" customHeight="1">
      <c r="A41" s="65" t="s">
        <v>1073</v>
      </c>
      <c r="B41" s="22" t="s">
        <v>154</v>
      </c>
      <c r="C41" s="22" t="s">
        <v>317</v>
      </c>
      <c r="D41" s="22">
        <v>11</v>
      </c>
      <c r="E41" s="22" t="s">
        <v>69</v>
      </c>
      <c r="F41" s="22" t="s">
        <v>120</v>
      </c>
      <c r="G41" s="141" t="s">
        <v>698</v>
      </c>
      <c r="H41" s="22" t="s">
        <v>165</v>
      </c>
      <c r="I41" s="87"/>
      <c r="J41" s="173"/>
      <c r="K41" s="250">
        <v>10000</v>
      </c>
      <c r="L41" s="213"/>
      <c r="M41" s="250">
        <v>10000</v>
      </c>
      <c r="N41" s="476">
        <f t="shared" si="0"/>
        <v>10000</v>
      </c>
    </row>
    <row r="42" spans="1:14" ht="63" customHeight="1">
      <c r="A42" s="65" t="s">
        <v>1032</v>
      </c>
      <c r="B42" s="22" t="s">
        <v>154</v>
      </c>
      <c r="C42" s="22" t="s">
        <v>317</v>
      </c>
      <c r="D42" s="22">
        <v>11</v>
      </c>
      <c r="E42" s="22" t="s">
        <v>69</v>
      </c>
      <c r="F42" s="22" t="s">
        <v>120</v>
      </c>
      <c r="G42" s="141" t="s">
        <v>1021</v>
      </c>
      <c r="H42" s="22" t="s">
        <v>165</v>
      </c>
      <c r="I42" s="87"/>
      <c r="J42" s="173"/>
      <c r="K42" s="250">
        <v>12240</v>
      </c>
      <c r="L42" s="213"/>
      <c r="M42" s="250">
        <v>12240</v>
      </c>
      <c r="N42" s="476">
        <f t="shared" si="0"/>
        <v>12240</v>
      </c>
    </row>
    <row r="43" spans="1:15" ht="63" customHeight="1">
      <c r="A43" s="235" t="s">
        <v>766</v>
      </c>
      <c r="B43" s="141" t="s">
        <v>154</v>
      </c>
      <c r="C43" s="141" t="s">
        <v>317</v>
      </c>
      <c r="D43" s="141" t="s">
        <v>163</v>
      </c>
      <c r="E43" s="141" t="s">
        <v>119</v>
      </c>
      <c r="F43" s="141" t="s">
        <v>500</v>
      </c>
      <c r="G43" s="141" t="s">
        <v>767</v>
      </c>
      <c r="H43" s="141" t="s">
        <v>165</v>
      </c>
      <c r="I43" s="172"/>
      <c r="J43" s="260"/>
      <c r="K43" s="143">
        <v>4289425.6</v>
      </c>
      <c r="L43" s="213"/>
      <c r="M43" s="143">
        <v>4289425.6</v>
      </c>
      <c r="N43" s="476">
        <f t="shared" si="0"/>
        <v>4289425.6</v>
      </c>
      <c r="O43" s="217"/>
    </row>
    <row r="44" spans="1:14" ht="154.5" customHeight="1">
      <c r="A44" s="65" t="s">
        <v>624</v>
      </c>
      <c r="B44" s="22" t="s">
        <v>154</v>
      </c>
      <c r="C44" s="22" t="s">
        <v>317</v>
      </c>
      <c r="D44" s="22" t="s">
        <v>163</v>
      </c>
      <c r="E44" s="22" t="s">
        <v>119</v>
      </c>
      <c r="F44" s="22" t="s">
        <v>500</v>
      </c>
      <c r="G44" s="141" t="s">
        <v>623</v>
      </c>
      <c r="H44" s="22" t="s">
        <v>166</v>
      </c>
      <c r="I44" s="87"/>
      <c r="J44" s="173"/>
      <c r="K44" s="250"/>
      <c r="L44" s="213"/>
      <c r="M44" s="250"/>
      <c r="N44" s="476">
        <f t="shared" si="0"/>
        <v>0</v>
      </c>
    </row>
    <row r="45" spans="1:14" ht="97.5" customHeight="1">
      <c r="A45" s="65" t="s">
        <v>1025</v>
      </c>
      <c r="B45" s="22" t="s">
        <v>154</v>
      </c>
      <c r="C45" s="22" t="s">
        <v>317</v>
      </c>
      <c r="D45" s="22">
        <v>11</v>
      </c>
      <c r="E45" s="22" t="s">
        <v>233</v>
      </c>
      <c r="F45" s="22" t="s">
        <v>70</v>
      </c>
      <c r="G45" s="141" t="s">
        <v>1027</v>
      </c>
      <c r="H45" s="22" t="s">
        <v>164</v>
      </c>
      <c r="I45" s="87"/>
      <c r="J45" s="173"/>
      <c r="K45" s="250">
        <v>1768804.76</v>
      </c>
      <c r="L45" s="213">
        <v>453263.93999999994</v>
      </c>
      <c r="M45" s="250">
        <v>1768804.76</v>
      </c>
      <c r="N45" s="476">
        <f t="shared" si="0"/>
        <v>1768804.76</v>
      </c>
    </row>
    <row r="46" spans="1:14" ht="63">
      <c r="A46" s="65" t="s">
        <v>1024</v>
      </c>
      <c r="B46" s="22" t="s">
        <v>154</v>
      </c>
      <c r="C46" s="22" t="s">
        <v>317</v>
      </c>
      <c r="D46" s="22">
        <v>11</v>
      </c>
      <c r="E46" s="22" t="s">
        <v>233</v>
      </c>
      <c r="F46" s="22" t="s">
        <v>70</v>
      </c>
      <c r="G46" s="141" t="s">
        <v>1027</v>
      </c>
      <c r="H46" s="22" t="s">
        <v>165</v>
      </c>
      <c r="I46" s="87"/>
      <c r="J46" s="173"/>
      <c r="K46" s="250">
        <v>80080</v>
      </c>
      <c r="L46" s="213"/>
      <c r="M46" s="250">
        <v>80080</v>
      </c>
      <c r="N46" s="476">
        <f t="shared" si="0"/>
        <v>80080</v>
      </c>
    </row>
    <row r="47" spans="1:14" ht="47.25">
      <c r="A47" s="65" t="s">
        <v>1026</v>
      </c>
      <c r="B47" s="22" t="s">
        <v>154</v>
      </c>
      <c r="C47" s="22" t="s">
        <v>317</v>
      </c>
      <c r="D47" s="22">
        <v>11</v>
      </c>
      <c r="E47" s="22" t="s">
        <v>233</v>
      </c>
      <c r="F47" s="22" t="s">
        <v>70</v>
      </c>
      <c r="G47" s="141" t="s">
        <v>1027</v>
      </c>
      <c r="H47" s="22" t="s">
        <v>166</v>
      </c>
      <c r="I47" s="87"/>
      <c r="J47" s="173"/>
      <c r="K47" s="250"/>
      <c r="L47" s="213"/>
      <c r="M47" s="250"/>
      <c r="N47" s="476">
        <f t="shared" si="0"/>
        <v>0</v>
      </c>
    </row>
    <row r="48" spans="1:14" ht="31.5">
      <c r="A48" s="249" t="s">
        <v>95</v>
      </c>
      <c r="B48" s="24" t="s">
        <v>154</v>
      </c>
      <c r="C48" s="24" t="s">
        <v>96</v>
      </c>
      <c r="D48" s="24"/>
      <c r="E48" s="24"/>
      <c r="F48" s="24"/>
      <c r="G48" s="24"/>
      <c r="H48" s="24"/>
      <c r="I48" s="25">
        <f aca="true" t="shared" si="1" ref="I48:M49">I49</f>
        <v>-30</v>
      </c>
      <c r="J48" s="293">
        <f t="shared" si="1"/>
        <v>0</v>
      </c>
      <c r="K48" s="25">
        <f t="shared" si="1"/>
        <v>350000</v>
      </c>
      <c r="L48" s="25">
        <f t="shared" si="1"/>
        <v>0</v>
      </c>
      <c r="M48" s="25">
        <f t="shared" si="1"/>
        <v>350000</v>
      </c>
      <c r="N48" s="476">
        <f t="shared" si="0"/>
        <v>350000</v>
      </c>
    </row>
    <row r="49" spans="1:14" ht="47.25">
      <c r="A49" s="249" t="s">
        <v>252</v>
      </c>
      <c r="B49" s="24" t="s">
        <v>154</v>
      </c>
      <c r="C49" s="24" t="s">
        <v>97</v>
      </c>
      <c r="D49" s="24"/>
      <c r="E49" s="24"/>
      <c r="F49" s="24"/>
      <c r="G49" s="24"/>
      <c r="H49" s="24"/>
      <c r="I49" s="25">
        <f t="shared" si="1"/>
        <v>-30</v>
      </c>
      <c r="J49" s="293">
        <f t="shared" si="1"/>
        <v>0</v>
      </c>
      <c r="K49" s="25">
        <f t="shared" si="1"/>
        <v>350000</v>
      </c>
      <c r="L49" s="25">
        <f t="shared" si="1"/>
        <v>0</v>
      </c>
      <c r="M49" s="25">
        <f t="shared" si="1"/>
        <v>350000</v>
      </c>
      <c r="N49" s="476">
        <f t="shared" si="0"/>
        <v>350000</v>
      </c>
    </row>
    <row r="50" spans="1:14" ht="63">
      <c r="A50" s="65" t="s">
        <v>599</v>
      </c>
      <c r="B50" s="23" t="s">
        <v>154</v>
      </c>
      <c r="C50" s="23" t="s">
        <v>97</v>
      </c>
      <c r="D50" s="23">
        <v>11</v>
      </c>
      <c r="E50" s="23" t="s">
        <v>69</v>
      </c>
      <c r="F50" s="23" t="s">
        <v>120</v>
      </c>
      <c r="G50" s="141" t="s">
        <v>504</v>
      </c>
      <c r="H50" s="23" t="s">
        <v>165</v>
      </c>
      <c r="I50" s="88">
        <v>-30</v>
      </c>
      <c r="J50" s="170"/>
      <c r="K50" s="34">
        <v>350000</v>
      </c>
      <c r="L50" s="213"/>
      <c r="M50" s="34">
        <v>350000</v>
      </c>
      <c r="N50" s="476">
        <f t="shared" si="0"/>
        <v>350000</v>
      </c>
    </row>
    <row r="51" spans="1:14" ht="15.75">
      <c r="A51" s="249" t="s">
        <v>98</v>
      </c>
      <c r="B51" s="24" t="s">
        <v>154</v>
      </c>
      <c r="C51" s="24" t="s">
        <v>99</v>
      </c>
      <c r="D51" s="24"/>
      <c r="E51" s="24"/>
      <c r="F51" s="24"/>
      <c r="G51" s="24"/>
      <c r="H51" s="24"/>
      <c r="I51" s="89" t="e">
        <f>I55+I68</f>
        <v>#REF!</v>
      </c>
      <c r="J51" s="469">
        <f>J52+J55+J68</f>
        <v>33955971.35</v>
      </c>
      <c r="K51" s="100">
        <f>K52+K55+K68</f>
        <v>44093273.15</v>
      </c>
      <c r="L51" s="100">
        <f>L52+L55+L68</f>
        <v>0</v>
      </c>
      <c r="M51" s="100">
        <f>M52+M55+M68</f>
        <v>10137301.8</v>
      </c>
      <c r="N51" s="476">
        <f t="shared" si="0"/>
        <v>44093273.150000006</v>
      </c>
    </row>
    <row r="52" spans="1:14" ht="15.75">
      <c r="A52" s="249" t="s">
        <v>690</v>
      </c>
      <c r="B52" s="24" t="s">
        <v>154</v>
      </c>
      <c r="C52" s="24" t="s">
        <v>689</v>
      </c>
      <c r="D52" s="24"/>
      <c r="E52" s="24"/>
      <c r="F52" s="24"/>
      <c r="G52" s="24"/>
      <c r="H52" s="24"/>
      <c r="I52" s="89"/>
      <c r="J52" s="469">
        <f>SUM(J53:J54)</f>
        <v>41450.64</v>
      </c>
      <c r="K52" s="100">
        <f>SUM(K53:K54)</f>
        <v>261114.64</v>
      </c>
      <c r="L52" s="100">
        <f>SUM(L53:L54)</f>
        <v>0</v>
      </c>
      <c r="M52" s="100">
        <f>SUM(M53:M54)</f>
        <v>219664</v>
      </c>
      <c r="N52" s="476">
        <f t="shared" si="0"/>
        <v>261114.64</v>
      </c>
    </row>
    <row r="53" spans="1:14" ht="96.75" customHeight="1">
      <c r="A53" s="65" t="s">
        <v>612</v>
      </c>
      <c r="B53" s="23" t="s">
        <v>154</v>
      </c>
      <c r="C53" s="23" t="s">
        <v>689</v>
      </c>
      <c r="D53" s="23" t="s">
        <v>163</v>
      </c>
      <c r="E53" s="23" t="s">
        <v>119</v>
      </c>
      <c r="F53" s="23" t="s">
        <v>500</v>
      </c>
      <c r="G53" s="141" t="s">
        <v>691</v>
      </c>
      <c r="H53" s="23" t="s">
        <v>165</v>
      </c>
      <c r="I53" s="145"/>
      <c r="J53" s="497">
        <v>41450.64</v>
      </c>
      <c r="K53" s="250">
        <v>120722.64</v>
      </c>
      <c r="L53" s="213"/>
      <c r="M53" s="250">
        <v>79272</v>
      </c>
      <c r="N53" s="476">
        <f t="shared" si="0"/>
        <v>120722.64</v>
      </c>
    </row>
    <row r="54" spans="1:14" ht="96.75" customHeight="1">
      <c r="A54" s="65" t="s">
        <v>613</v>
      </c>
      <c r="B54" s="22" t="s">
        <v>154</v>
      </c>
      <c r="C54" s="22" t="s">
        <v>689</v>
      </c>
      <c r="D54" s="22" t="s">
        <v>163</v>
      </c>
      <c r="E54" s="22" t="s">
        <v>119</v>
      </c>
      <c r="F54" s="22" t="s">
        <v>500</v>
      </c>
      <c r="G54" s="141" t="s">
        <v>750</v>
      </c>
      <c r="H54" s="22" t="s">
        <v>165</v>
      </c>
      <c r="I54" s="87"/>
      <c r="J54" s="173"/>
      <c r="K54" s="250">
        <v>140392</v>
      </c>
      <c r="L54" s="213"/>
      <c r="M54" s="250">
        <v>140392</v>
      </c>
      <c r="N54" s="476">
        <f t="shared" si="0"/>
        <v>140392</v>
      </c>
    </row>
    <row r="55" spans="1:14" ht="15.75">
      <c r="A55" s="249" t="s">
        <v>56</v>
      </c>
      <c r="B55" s="24" t="s">
        <v>154</v>
      </c>
      <c r="C55" s="24" t="s">
        <v>100</v>
      </c>
      <c r="D55" s="24"/>
      <c r="E55" s="24"/>
      <c r="F55" s="24"/>
      <c r="G55" s="24"/>
      <c r="H55" s="24"/>
      <c r="I55" s="72" t="e">
        <f>I56+#REF!+#REF!+#REF!</f>
        <v>#REF!</v>
      </c>
      <c r="J55" s="293">
        <f>SUM(J56:J67)</f>
        <v>33868930</v>
      </c>
      <c r="K55" s="25">
        <f>SUM(K56:K67)</f>
        <v>43028567.8</v>
      </c>
      <c r="L55" s="25">
        <f>SUM(L56:L67)</f>
        <v>0</v>
      </c>
      <c r="M55" s="25">
        <f>SUM(M56:M67)</f>
        <v>9159637.8</v>
      </c>
      <c r="N55" s="476">
        <f t="shared" si="0"/>
        <v>43028567.8</v>
      </c>
    </row>
    <row r="56" spans="1:14" ht="63">
      <c r="A56" s="234" t="s">
        <v>913</v>
      </c>
      <c r="B56" s="23" t="s">
        <v>154</v>
      </c>
      <c r="C56" s="23" t="s">
        <v>100</v>
      </c>
      <c r="D56" s="23" t="s">
        <v>242</v>
      </c>
      <c r="E56" s="23" t="s">
        <v>69</v>
      </c>
      <c r="F56" s="23" t="s">
        <v>70</v>
      </c>
      <c r="G56" s="141" t="s">
        <v>505</v>
      </c>
      <c r="H56" s="23" t="s">
        <v>165</v>
      </c>
      <c r="I56" s="88">
        <v>-71.6</v>
      </c>
      <c r="J56" s="170"/>
      <c r="K56" s="250">
        <f>3105606.06-941354.1</f>
        <v>2164251.96</v>
      </c>
      <c r="L56" s="213"/>
      <c r="M56" s="250">
        <f>3105606.06-941354.1</f>
        <v>2164251.96</v>
      </c>
      <c r="N56" s="476">
        <f t="shared" si="0"/>
        <v>2164251.96</v>
      </c>
    </row>
    <row r="57" spans="1:14" ht="51" customHeight="1">
      <c r="A57" s="234" t="s">
        <v>914</v>
      </c>
      <c r="B57" s="23" t="s">
        <v>154</v>
      </c>
      <c r="C57" s="23" t="s">
        <v>100</v>
      </c>
      <c r="D57" s="23" t="s">
        <v>242</v>
      </c>
      <c r="E57" s="23" t="s">
        <v>69</v>
      </c>
      <c r="F57" s="23" t="s">
        <v>70</v>
      </c>
      <c r="G57" s="141" t="s">
        <v>960</v>
      </c>
      <c r="H57" s="23" t="s">
        <v>165</v>
      </c>
      <c r="I57" s="88"/>
      <c r="J57" s="170"/>
      <c r="K57" s="250">
        <v>4494799.24</v>
      </c>
      <c r="L57" s="213"/>
      <c r="M57" s="250">
        <v>4494799.24</v>
      </c>
      <c r="N57" s="476">
        <f t="shared" si="0"/>
        <v>4494799.24</v>
      </c>
    </row>
    <row r="58" spans="1:14" ht="48.75" customHeight="1">
      <c r="A58" s="234" t="s">
        <v>1258</v>
      </c>
      <c r="B58" s="23" t="s">
        <v>154</v>
      </c>
      <c r="C58" s="23" t="s">
        <v>100</v>
      </c>
      <c r="D58" s="23" t="s">
        <v>242</v>
      </c>
      <c r="E58" s="23" t="s">
        <v>69</v>
      </c>
      <c r="F58" s="23" t="s">
        <v>70</v>
      </c>
      <c r="G58" s="141" t="s">
        <v>960</v>
      </c>
      <c r="H58" s="23" t="s">
        <v>982</v>
      </c>
      <c r="I58" s="88"/>
      <c r="J58" s="170"/>
      <c r="K58" s="250">
        <v>349232.5</v>
      </c>
      <c r="L58" s="213"/>
      <c r="M58" s="250">
        <v>349232.5</v>
      </c>
      <c r="N58" s="476">
        <f t="shared" si="0"/>
        <v>349232.5</v>
      </c>
    </row>
    <row r="59" spans="1:14" ht="47.25">
      <c r="A59" s="234" t="s">
        <v>930</v>
      </c>
      <c r="B59" s="23" t="s">
        <v>154</v>
      </c>
      <c r="C59" s="23" t="s">
        <v>100</v>
      </c>
      <c r="D59" s="23" t="s">
        <v>242</v>
      </c>
      <c r="E59" s="23" t="s">
        <v>69</v>
      </c>
      <c r="F59" s="23" t="s">
        <v>70</v>
      </c>
      <c r="G59" s="141" t="s">
        <v>961</v>
      </c>
      <c r="H59" s="23" t="s">
        <v>165</v>
      </c>
      <c r="I59" s="88"/>
      <c r="J59" s="170"/>
      <c r="K59" s="250">
        <v>0</v>
      </c>
      <c r="L59" s="213"/>
      <c r="M59" s="250">
        <v>0</v>
      </c>
      <c r="N59" s="476">
        <f t="shared" si="0"/>
        <v>0</v>
      </c>
    </row>
    <row r="60" spans="1:14" ht="47.25">
      <c r="A60" s="234" t="s">
        <v>997</v>
      </c>
      <c r="B60" s="23" t="s">
        <v>154</v>
      </c>
      <c r="C60" s="23" t="s">
        <v>100</v>
      </c>
      <c r="D60" s="23" t="s">
        <v>242</v>
      </c>
      <c r="E60" s="23" t="s">
        <v>69</v>
      </c>
      <c r="F60" s="23" t="s">
        <v>70</v>
      </c>
      <c r="G60" s="141" t="s">
        <v>962</v>
      </c>
      <c r="H60" s="23" t="s">
        <v>165</v>
      </c>
      <c r="I60" s="88"/>
      <c r="J60" s="170"/>
      <c r="K60" s="250">
        <v>140000</v>
      </c>
      <c r="L60" s="213"/>
      <c r="M60" s="250">
        <v>140000</v>
      </c>
      <c r="N60" s="476">
        <f t="shared" si="0"/>
        <v>140000</v>
      </c>
    </row>
    <row r="61" spans="1:14" ht="84" customHeight="1">
      <c r="A61" s="234" t="s">
        <v>1237</v>
      </c>
      <c r="B61" s="23" t="s">
        <v>154</v>
      </c>
      <c r="C61" s="23" t="s">
        <v>100</v>
      </c>
      <c r="D61" s="23" t="s">
        <v>242</v>
      </c>
      <c r="E61" s="23" t="s">
        <v>69</v>
      </c>
      <c r="F61" s="23" t="s">
        <v>70</v>
      </c>
      <c r="G61" s="141" t="s">
        <v>1239</v>
      </c>
      <c r="H61" s="23" t="s">
        <v>165</v>
      </c>
      <c r="I61" s="88"/>
      <c r="J61" s="173"/>
      <c r="K61" s="250"/>
      <c r="L61" s="213"/>
      <c r="M61" s="250"/>
      <c r="N61" s="476">
        <f t="shared" si="0"/>
        <v>0</v>
      </c>
    </row>
    <row r="62" spans="1:14" ht="129" customHeight="1">
      <c r="A62" s="263" t="s">
        <v>757</v>
      </c>
      <c r="B62" s="141" t="s">
        <v>154</v>
      </c>
      <c r="C62" s="141" t="s">
        <v>100</v>
      </c>
      <c r="D62" s="141" t="s">
        <v>242</v>
      </c>
      <c r="E62" s="141" t="s">
        <v>69</v>
      </c>
      <c r="F62" s="141" t="s">
        <v>70</v>
      </c>
      <c r="G62" s="141" t="s">
        <v>756</v>
      </c>
      <c r="H62" s="141" t="s">
        <v>53</v>
      </c>
      <c r="I62" s="172"/>
      <c r="J62" s="260"/>
      <c r="K62" s="250">
        <f>1000000+941354.1</f>
        <v>1941354.1</v>
      </c>
      <c r="L62" s="219"/>
      <c r="M62" s="250">
        <f>1000000+941354.1</f>
        <v>1941354.1</v>
      </c>
      <c r="N62" s="476">
        <f t="shared" si="0"/>
        <v>1941354.1</v>
      </c>
    </row>
    <row r="63" spans="1:14" ht="34.5" customHeight="1">
      <c r="A63" s="234" t="s">
        <v>915</v>
      </c>
      <c r="B63" s="23" t="s">
        <v>154</v>
      </c>
      <c r="C63" s="23" t="s">
        <v>100</v>
      </c>
      <c r="D63" s="23" t="s">
        <v>242</v>
      </c>
      <c r="E63" s="23" t="s">
        <v>60</v>
      </c>
      <c r="F63" s="23" t="s">
        <v>70</v>
      </c>
      <c r="G63" s="141" t="s">
        <v>636</v>
      </c>
      <c r="H63" s="23" t="s">
        <v>165</v>
      </c>
      <c r="I63" s="88"/>
      <c r="J63" s="170"/>
      <c r="K63" s="250">
        <v>50000</v>
      </c>
      <c r="L63" s="213"/>
      <c r="M63" s="250">
        <v>50000</v>
      </c>
      <c r="N63" s="476">
        <f t="shared" si="0"/>
        <v>50000</v>
      </c>
    </row>
    <row r="64" spans="1:14" ht="78.75">
      <c r="A64" s="234" t="s">
        <v>1146</v>
      </c>
      <c r="B64" s="23" t="s">
        <v>154</v>
      </c>
      <c r="C64" s="23" t="s">
        <v>100</v>
      </c>
      <c r="D64" s="23" t="s">
        <v>242</v>
      </c>
      <c r="E64" s="23" t="s">
        <v>233</v>
      </c>
      <c r="F64" s="23" t="s">
        <v>70</v>
      </c>
      <c r="G64" s="141" t="s">
        <v>1148</v>
      </c>
      <c r="H64" s="23" t="s">
        <v>165</v>
      </c>
      <c r="I64" s="88"/>
      <c r="J64" s="170"/>
      <c r="K64" s="250">
        <v>0</v>
      </c>
      <c r="L64" s="213"/>
      <c r="M64" s="250">
        <v>0</v>
      </c>
      <c r="N64" s="476">
        <f t="shared" si="0"/>
        <v>0</v>
      </c>
    </row>
    <row r="65" spans="1:14" ht="95.25" customHeight="1">
      <c r="A65" s="234" t="s">
        <v>1147</v>
      </c>
      <c r="B65" s="23" t="s">
        <v>154</v>
      </c>
      <c r="C65" s="23" t="s">
        <v>100</v>
      </c>
      <c r="D65" s="23" t="s">
        <v>242</v>
      </c>
      <c r="E65" s="23" t="s">
        <v>233</v>
      </c>
      <c r="F65" s="23" t="s">
        <v>70</v>
      </c>
      <c r="G65" s="141" t="s">
        <v>1149</v>
      </c>
      <c r="H65" s="23" t="s">
        <v>165</v>
      </c>
      <c r="I65" s="88"/>
      <c r="J65" s="170"/>
      <c r="K65" s="250">
        <v>20000</v>
      </c>
      <c r="L65" s="213"/>
      <c r="M65" s="250">
        <v>20000</v>
      </c>
      <c r="N65" s="476">
        <f t="shared" si="0"/>
        <v>20000</v>
      </c>
    </row>
    <row r="66" spans="1:14" ht="51" customHeight="1">
      <c r="A66" s="237" t="s">
        <v>1481</v>
      </c>
      <c r="B66" s="23" t="s">
        <v>154</v>
      </c>
      <c r="C66" s="23" t="s">
        <v>100</v>
      </c>
      <c r="D66" s="23" t="s">
        <v>58</v>
      </c>
      <c r="E66" s="23" t="s">
        <v>69</v>
      </c>
      <c r="F66" s="23" t="s">
        <v>70</v>
      </c>
      <c r="G66" s="141" t="s">
        <v>1487</v>
      </c>
      <c r="H66" s="23" t="s">
        <v>982</v>
      </c>
      <c r="I66" s="88"/>
      <c r="J66" s="170">
        <f>30525878+3343052</f>
        <v>33868930</v>
      </c>
      <c r="K66" s="250">
        <v>33868930</v>
      </c>
      <c r="L66" s="213"/>
      <c r="M66" s="250"/>
      <c r="N66" s="476"/>
    </row>
    <row r="67" spans="1:14" ht="94.5">
      <c r="A67" s="234" t="s">
        <v>1034</v>
      </c>
      <c r="B67" s="23" t="s">
        <v>154</v>
      </c>
      <c r="C67" s="23" t="s">
        <v>100</v>
      </c>
      <c r="D67" s="23" t="s">
        <v>242</v>
      </c>
      <c r="E67" s="23" t="s">
        <v>69</v>
      </c>
      <c r="F67" s="23" t="s">
        <v>70</v>
      </c>
      <c r="G67" s="141" t="s">
        <v>1030</v>
      </c>
      <c r="H67" s="23" t="s">
        <v>165</v>
      </c>
      <c r="I67" s="88"/>
      <c r="J67" s="170"/>
      <c r="K67" s="250"/>
      <c r="L67" s="213"/>
      <c r="M67" s="250"/>
      <c r="N67" s="476">
        <f t="shared" si="0"/>
        <v>0</v>
      </c>
    </row>
    <row r="68" spans="1:14" ht="15.75">
      <c r="A68" s="249" t="s">
        <v>101</v>
      </c>
      <c r="B68" s="24" t="s">
        <v>154</v>
      </c>
      <c r="C68" s="24" t="s">
        <v>102</v>
      </c>
      <c r="D68" s="24"/>
      <c r="E68" s="24"/>
      <c r="F68" s="24"/>
      <c r="G68" s="24"/>
      <c r="H68" s="24"/>
      <c r="I68" s="72">
        <f>SUM(I69:I72)</f>
        <v>-456</v>
      </c>
      <c r="J68" s="293">
        <f>SUM(J69:J74)</f>
        <v>45590.71</v>
      </c>
      <c r="K68" s="25">
        <f>SUM(K69:K76)</f>
        <v>803590.71</v>
      </c>
      <c r="L68" s="25">
        <f>SUM(L69:L76)</f>
        <v>0</v>
      </c>
      <c r="M68" s="25">
        <f>SUM(M69:M76)</f>
        <v>758000</v>
      </c>
      <c r="N68" s="476">
        <f t="shared" si="0"/>
        <v>803590.71</v>
      </c>
    </row>
    <row r="69" spans="1:14" ht="78.75" customHeight="1">
      <c r="A69" s="71" t="s">
        <v>591</v>
      </c>
      <c r="B69" s="23" t="s">
        <v>154</v>
      </c>
      <c r="C69" s="23" t="s">
        <v>102</v>
      </c>
      <c r="D69" s="23" t="s">
        <v>70</v>
      </c>
      <c r="E69" s="23" t="s">
        <v>60</v>
      </c>
      <c r="F69" s="23" t="s">
        <v>70</v>
      </c>
      <c r="G69" s="141" t="s">
        <v>506</v>
      </c>
      <c r="H69" s="23" t="s">
        <v>165</v>
      </c>
      <c r="I69" s="88">
        <v>-456</v>
      </c>
      <c r="J69" s="170">
        <v>45590.71</v>
      </c>
      <c r="K69" s="250">
        <v>345590.71</v>
      </c>
      <c r="L69" s="213"/>
      <c r="M69" s="250">
        <v>300000</v>
      </c>
      <c r="N69" s="476">
        <f>M69+J69</f>
        <v>345590.71</v>
      </c>
    </row>
    <row r="70" spans="1:14" ht="47.25">
      <c r="A70" s="65" t="s">
        <v>615</v>
      </c>
      <c r="B70" s="22" t="s">
        <v>154</v>
      </c>
      <c r="C70" s="22" t="s">
        <v>102</v>
      </c>
      <c r="D70" s="22" t="s">
        <v>57</v>
      </c>
      <c r="E70" s="22" t="s">
        <v>69</v>
      </c>
      <c r="F70" s="22" t="s">
        <v>70</v>
      </c>
      <c r="G70" s="141" t="s">
        <v>507</v>
      </c>
      <c r="H70" s="22" t="s">
        <v>165</v>
      </c>
      <c r="I70" s="87"/>
      <c r="J70" s="173"/>
      <c r="K70" s="250">
        <v>10000</v>
      </c>
      <c r="L70" s="213"/>
      <c r="M70" s="250">
        <v>10000</v>
      </c>
      <c r="N70" s="476">
        <f aca="true" t="shared" si="2" ref="N70:N133">M70+J70</f>
        <v>10000</v>
      </c>
    </row>
    <row r="71" spans="1:14" ht="51.75" customHeight="1">
      <c r="A71" s="65" t="s">
        <v>1408</v>
      </c>
      <c r="B71" s="23" t="s">
        <v>154</v>
      </c>
      <c r="C71" s="23" t="s">
        <v>102</v>
      </c>
      <c r="D71" s="23" t="s">
        <v>57</v>
      </c>
      <c r="E71" s="23" t="s">
        <v>69</v>
      </c>
      <c r="F71" s="23" t="s">
        <v>70</v>
      </c>
      <c r="G71" s="141" t="s">
        <v>508</v>
      </c>
      <c r="H71" s="23" t="s">
        <v>165</v>
      </c>
      <c r="I71" s="88"/>
      <c r="J71" s="170"/>
      <c r="K71" s="250">
        <v>20000</v>
      </c>
      <c r="L71" s="213"/>
      <c r="M71" s="250">
        <v>20000</v>
      </c>
      <c r="N71" s="476">
        <f t="shared" si="2"/>
        <v>20000</v>
      </c>
    </row>
    <row r="72" spans="1:14" ht="63">
      <c r="A72" s="65" t="s">
        <v>602</v>
      </c>
      <c r="B72" s="23" t="s">
        <v>154</v>
      </c>
      <c r="C72" s="23" t="s">
        <v>102</v>
      </c>
      <c r="D72" s="23" t="s">
        <v>57</v>
      </c>
      <c r="E72" s="23" t="s">
        <v>69</v>
      </c>
      <c r="F72" s="23" t="s">
        <v>70</v>
      </c>
      <c r="G72" s="141" t="s">
        <v>509</v>
      </c>
      <c r="H72" s="23" t="s">
        <v>165</v>
      </c>
      <c r="I72" s="88"/>
      <c r="J72" s="170"/>
      <c r="K72" s="250"/>
      <c r="L72" s="213"/>
      <c r="M72" s="250"/>
      <c r="N72" s="476">
        <f t="shared" si="2"/>
        <v>0</v>
      </c>
    </row>
    <row r="73" spans="1:14" ht="47.25">
      <c r="A73" s="65" t="s">
        <v>630</v>
      </c>
      <c r="B73" s="23" t="s">
        <v>154</v>
      </c>
      <c r="C73" s="23" t="s">
        <v>102</v>
      </c>
      <c r="D73" s="23" t="s">
        <v>57</v>
      </c>
      <c r="E73" s="23" t="s">
        <v>69</v>
      </c>
      <c r="F73" s="23" t="s">
        <v>120</v>
      </c>
      <c r="G73" s="141" t="s">
        <v>629</v>
      </c>
      <c r="H73" s="23" t="s">
        <v>166</v>
      </c>
      <c r="I73" s="88"/>
      <c r="J73" s="170"/>
      <c r="K73" s="250">
        <v>258000</v>
      </c>
      <c r="L73" s="213"/>
      <c r="M73" s="250">
        <v>258000</v>
      </c>
      <c r="N73" s="476">
        <f t="shared" si="2"/>
        <v>258000</v>
      </c>
    </row>
    <row r="74" spans="1:14" ht="129" customHeight="1">
      <c r="A74" s="65" t="s">
        <v>1409</v>
      </c>
      <c r="B74" s="23" t="s">
        <v>154</v>
      </c>
      <c r="C74" s="23" t="s">
        <v>102</v>
      </c>
      <c r="D74" s="23" t="s">
        <v>57</v>
      </c>
      <c r="E74" s="23" t="s">
        <v>69</v>
      </c>
      <c r="F74" s="23" t="s">
        <v>120</v>
      </c>
      <c r="G74" s="141" t="s">
        <v>963</v>
      </c>
      <c r="H74" s="23" t="s">
        <v>166</v>
      </c>
      <c r="I74" s="88"/>
      <c r="J74" s="170"/>
      <c r="K74" s="250">
        <v>170000</v>
      </c>
      <c r="L74" s="213"/>
      <c r="M74" s="250">
        <v>170000</v>
      </c>
      <c r="N74" s="476">
        <f t="shared" si="2"/>
        <v>170000</v>
      </c>
    </row>
    <row r="75" spans="1:14" ht="80.25" customHeight="1">
      <c r="A75" s="65" t="s">
        <v>1264</v>
      </c>
      <c r="B75" s="23" t="s">
        <v>154</v>
      </c>
      <c r="C75" s="23" t="s">
        <v>102</v>
      </c>
      <c r="D75" s="23" t="s">
        <v>57</v>
      </c>
      <c r="E75" s="23" t="s">
        <v>60</v>
      </c>
      <c r="F75" s="23" t="s">
        <v>70</v>
      </c>
      <c r="G75" s="141" t="s">
        <v>1260</v>
      </c>
      <c r="H75" s="23" t="s">
        <v>165</v>
      </c>
      <c r="I75" s="88"/>
      <c r="J75" s="170"/>
      <c r="K75" s="250">
        <v>0</v>
      </c>
      <c r="L75" s="213"/>
      <c r="M75" s="250">
        <v>0</v>
      </c>
      <c r="N75" s="476">
        <f t="shared" si="2"/>
        <v>0</v>
      </c>
    </row>
    <row r="76" spans="1:14" ht="97.5" customHeight="1">
      <c r="A76" s="65" t="s">
        <v>1265</v>
      </c>
      <c r="B76" s="23" t="s">
        <v>154</v>
      </c>
      <c r="C76" s="23" t="s">
        <v>102</v>
      </c>
      <c r="D76" s="23" t="s">
        <v>57</v>
      </c>
      <c r="E76" s="23" t="s">
        <v>60</v>
      </c>
      <c r="F76" s="23" t="s">
        <v>70</v>
      </c>
      <c r="G76" s="141" t="s">
        <v>1261</v>
      </c>
      <c r="H76" s="23" t="s">
        <v>165</v>
      </c>
      <c r="I76" s="88"/>
      <c r="J76" s="170"/>
      <c r="K76" s="250">
        <v>0</v>
      </c>
      <c r="L76" s="213"/>
      <c r="M76" s="250">
        <v>0</v>
      </c>
      <c r="N76" s="476">
        <f t="shared" si="2"/>
        <v>0</v>
      </c>
    </row>
    <row r="77" spans="1:14" ht="15.75">
      <c r="A77" s="249" t="s">
        <v>37</v>
      </c>
      <c r="B77" s="24" t="s">
        <v>154</v>
      </c>
      <c r="C77" s="24" t="s">
        <v>38</v>
      </c>
      <c r="D77" s="24"/>
      <c r="E77" s="24"/>
      <c r="F77" s="24"/>
      <c r="G77" s="24"/>
      <c r="H77" s="24"/>
      <c r="I77" s="25" t="e">
        <f>I78+I84</f>
        <v>#REF!</v>
      </c>
      <c r="J77" s="293">
        <f>J78+J84+J87</f>
        <v>3510635.0300000003</v>
      </c>
      <c r="K77" s="25">
        <f>K78+K84+K87</f>
        <v>17020628.61</v>
      </c>
      <c r="L77" s="25">
        <f>L78+L84+L87</f>
        <v>0</v>
      </c>
      <c r="M77" s="25">
        <f>M78+M84+M87</f>
        <v>13509993.58</v>
      </c>
      <c r="N77" s="476">
        <f t="shared" si="2"/>
        <v>17020628.61</v>
      </c>
    </row>
    <row r="78" spans="1:14" ht="15.75">
      <c r="A78" s="251" t="s">
        <v>134</v>
      </c>
      <c r="B78" s="32">
        <v>900</v>
      </c>
      <c r="C78" s="33" t="s">
        <v>135</v>
      </c>
      <c r="D78" s="33"/>
      <c r="E78" s="33"/>
      <c r="F78" s="33"/>
      <c r="G78" s="33"/>
      <c r="H78" s="33"/>
      <c r="I78" s="90" t="e">
        <f>#REF!+#REF!</f>
        <v>#REF!</v>
      </c>
      <c r="J78" s="498">
        <f>SUM(J79:J83)</f>
        <v>397251.33</v>
      </c>
      <c r="K78" s="101">
        <f>SUM(K79:K83)</f>
        <v>3375354.95</v>
      </c>
      <c r="L78" s="101">
        <f>SUM(L79:L83)</f>
        <v>0</v>
      </c>
      <c r="M78" s="101">
        <f>SUM(M79:M83)</f>
        <v>2978103.62</v>
      </c>
      <c r="N78" s="476">
        <f t="shared" si="2"/>
        <v>3375354.95</v>
      </c>
    </row>
    <row r="79" spans="1:14" ht="47.25">
      <c r="A79" s="65" t="s">
        <v>648</v>
      </c>
      <c r="B79" s="67">
        <v>900</v>
      </c>
      <c r="C79" s="68" t="s">
        <v>135</v>
      </c>
      <c r="D79" s="68" t="s">
        <v>61</v>
      </c>
      <c r="E79" s="68" t="s">
        <v>144</v>
      </c>
      <c r="F79" s="68" t="s">
        <v>70</v>
      </c>
      <c r="G79" s="262" t="s">
        <v>683</v>
      </c>
      <c r="H79" s="68" t="s">
        <v>165</v>
      </c>
      <c r="I79" s="91"/>
      <c r="J79" s="173">
        <v>397251.33</v>
      </c>
      <c r="K79" s="250">
        <v>1632824.9300000002</v>
      </c>
      <c r="L79" s="213"/>
      <c r="M79" s="250">
        <v>1235573.6</v>
      </c>
      <c r="N79" s="476">
        <f t="shared" si="2"/>
        <v>1632824.9300000002</v>
      </c>
    </row>
    <row r="80" spans="1:14" ht="63">
      <c r="A80" s="65" t="s">
        <v>1069</v>
      </c>
      <c r="B80" s="67">
        <v>900</v>
      </c>
      <c r="C80" s="68" t="s">
        <v>135</v>
      </c>
      <c r="D80" s="68" t="s">
        <v>61</v>
      </c>
      <c r="E80" s="68" t="s">
        <v>144</v>
      </c>
      <c r="F80" s="68" t="s">
        <v>70</v>
      </c>
      <c r="G80" s="262" t="s">
        <v>1068</v>
      </c>
      <c r="H80" s="68" t="s">
        <v>165</v>
      </c>
      <c r="I80" s="91"/>
      <c r="J80" s="173"/>
      <c r="K80" s="250">
        <v>1546853.1</v>
      </c>
      <c r="L80" s="213"/>
      <c r="M80" s="250">
        <v>1546853.1</v>
      </c>
      <c r="N80" s="476">
        <f t="shared" si="2"/>
        <v>1546853.1</v>
      </c>
    </row>
    <row r="81" spans="1:14" ht="63">
      <c r="A81" s="166" t="s">
        <v>977</v>
      </c>
      <c r="B81" s="67">
        <v>900</v>
      </c>
      <c r="C81" s="68" t="s">
        <v>135</v>
      </c>
      <c r="D81" s="68" t="s">
        <v>61</v>
      </c>
      <c r="E81" s="68" t="s">
        <v>979</v>
      </c>
      <c r="F81" s="68" t="s">
        <v>70</v>
      </c>
      <c r="G81" s="262" t="s">
        <v>980</v>
      </c>
      <c r="H81" s="68" t="s">
        <v>165</v>
      </c>
      <c r="I81" s="91"/>
      <c r="J81" s="173"/>
      <c r="K81" s="250"/>
      <c r="L81" s="213"/>
      <c r="M81" s="250"/>
      <c r="N81" s="476">
        <f t="shared" si="2"/>
        <v>0</v>
      </c>
    </row>
    <row r="82" spans="1:14" ht="78.75">
      <c r="A82" s="166" t="s">
        <v>1074</v>
      </c>
      <c r="B82" s="67">
        <v>900</v>
      </c>
      <c r="C82" s="68" t="s">
        <v>135</v>
      </c>
      <c r="D82" s="68" t="s">
        <v>61</v>
      </c>
      <c r="E82" s="68" t="s">
        <v>144</v>
      </c>
      <c r="F82" s="68" t="s">
        <v>70</v>
      </c>
      <c r="G82" s="262" t="s">
        <v>1144</v>
      </c>
      <c r="H82" s="68" t="s">
        <v>166</v>
      </c>
      <c r="I82" s="91"/>
      <c r="J82" s="173"/>
      <c r="K82" s="250">
        <v>195676.92</v>
      </c>
      <c r="L82" s="213"/>
      <c r="M82" s="250">
        <v>195676.92</v>
      </c>
      <c r="N82" s="476">
        <f t="shared" si="2"/>
        <v>195676.92</v>
      </c>
    </row>
    <row r="83" spans="1:14" ht="47.25">
      <c r="A83" s="166" t="s">
        <v>1019</v>
      </c>
      <c r="B83" s="67">
        <v>900</v>
      </c>
      <c r="C83" s="68" t="s">
        <v>135</v>
      </c>
      <c r="D83" s="68" t="s">
        <v>61</v>
      </c>
      <c r="E83" s="68" t="s">
        <v>979</v>
      </c>
      <c r="F83" s="68" t="s">
        <v>70</v>
      </c>
      <c r="G83" s="262" t="s">
        <v>1020</v>
      </c>
      <c r="H83" s="68" t="s">
        <v>165</v>
      </c>
      <c r="I83" s="91"/>
      <c r="J83" s="173"/>
      <c r="K83" s="250"/>
      <c r="L83" s="213"/>
      <c r="M83" s="250"/>
      <c r="N83" s="476">
        <f t="shared" si="2"/>
        <v>0</v>
      </c>
    </row>
    <row r="84" spans="1:14" ht="15.75">
      <c r="A84" s="249" t="s">
        <v>136</v>
      </c>
      <c r="B84" s="24" t="s">
        <v>154</v>
      </c>
      <c r="C84" s="24" t="s">
        <v>137</v>
      </c>
      <c r="D84" s="24"/>
      <c r="E84" s="24"/>
      <c r="F84" s="24"/>
      <c r="G84" s="24"/>
      <c r="H84" s="24"/>
      <c r="I84" s="25" t="e">
        <f>I85+#REF!+#REF!+#REF!+#REF!+#REF!</f>
        <v>#REF!</v>
      </c>
      <c r="J84" s="293">
        <f>SUM(J85:J86)</f>
        <v>0</v>
      </c>
      <c r="K84" s="25">
        <f>SUM(K85:K86)</f>
        <v>2076874.96</v>
      </c>
      <c r="L84" s="25">
        <f>SUM(L85:L86)</f>
        <v>0</v>
      </c>
      <c r="M84" s="25">
        <f>SUM(M85:M86)</f>
        <v>2076874.96</v>
      </c>
      <c r="N84" s="476">
        <f t="shared" si="2"/>
        <v>2076874.96</v>
      </c>
    </row>
    <row r="85" spans="1:14" ht="48" customHeight="1">
      <c r="A85" s="66" t="s">
        <v>603</v>
      </c>
      <c r="B85" s="23" t="s">
        <v>154</v>
      </c>
      <c r="C85" s="23" t="s">
        <v>137</v>
      </c>
      <c r="D85" s="23" t="s">
        <v>61</v>
      </c>
      <c r="E85" s="23" t="s">
        <v>69</v>
      </c>
      <c r="F85" s="23" t="s">
        <v>70</v>
      </c>
      <c r="G85" s="141" t="s">
        <v>510</v>
      </c>
      <c r="H85" s="23" t="s">
        <v>165</v>
      </c>
      <c r="I85" s="88">
        <v>-220</v>
      </c>
      <c r="J85" s="170"/>
      <c r="K85" s="103">
        <v>1959694.96</v>
      </c>
      <c r="L85" s="213"/>
      <c r="M85" s="103">
        <v>1959694.96</v>
      </c>
      <c r="N85" s="476">
        <f t="shared" si="2"/>
        <v>1959694.96</v>
      </c>
    </row>
    <row r="86" spans="1:14" ht="48.75" customHeight="1">
      <c r="A86" s="66" t="s">
        <v>611</v>
      </c>
      <c r="B86" s="23" t="s">
        <v>154</v>
      </c>
      <c r="C86" s="23" t="s">
        <v>137</v>
      </c>
      <c r="D86" s="23" t="s">
        <v>163</v>
      </c>
      <c r="E86" s="23" t="s">
        <v>119</v>
      </c>
      <c r="F86" s="23" t="s">
        <v>500</v>
      </c>
      <c r="G86" s="141" t="s">
        <v>511</v>
      </c>
      <c r="H86" s="23" t="s">
        <v>165</v>
      </c>
      <c r="I86" s="88"/>
      <c r="J86" s="170"/>
      <c r="K86" s="103">
        <v>117180</v>
      </c>
      <c r="L86" s="213"/>
      <c r="M86" s="103">
        <v>117180</v>
      </c>
      <c r="N86" s="476">
        <f t="shared" si="2"/>
        <v>117180</v>
      </c>
    </row>
    <row r="87" spans="1:14" ht="15.75">
      <c r="A87" s="249" t="s">
        <v>650</v>
      </c>
      <c r="B87" s="24" t="s">
        <v>154</v>
      </c>
      <c r="C87" s="24" t="s">
        <v>649</v>
      </c>
      <c r="D87" s="24"/>
      <c r="E87" s="24"/>
      <c r="F87" s="24"/>
      <c r="G87" s="24"/>
      <c r="H87" s="24"/>
      <c r="I87" s="25" t="e">
        <f>#REF!+#REF!+#REF!+I101+#REF!+I103</f>
        <v>#REF!</v>
      </c>
      <c r="J87" s="293">
        <f>SUM(J88:J99)</f>
        <v>3113383.7</v>
      </c>
      <c r="K87" s="25">
        <f>SUM(K88:K99)</f>
        <v>11568398.700000001</v>
      </c>
      <c r="L87" s="25">
        <f>SUM(L88:L99)</f>
        <v>0</v>
      </c>
      <c r="M87" s="25">
        <f>SUM(M88:M99)</f>
        <v>8455015</v>
      </c>
      <c r="N87" s="476">
        <f t="shared" si="2"/>
        <v>11568398.7</v>
      </c>
    </row>
    <row r="88" spans="1:14" ht="65.25" customHeight="1">
      <c r="A88" s="66" t="s">
        <v>668</v>
      </c>
      <c r="B88" s="23" t="s">
        <v>154</v>
      </c>
      <c r="C88" s="23" t="s">
        <v>649</v>
      </c>
      <c r="D88" s="23" t="s">
        <v>61</v>
      </c>
      <c r="E88" s="23" t="s">
        <v>60</v>
      </c>
      <c r="F88" s="23" t="s">
        <v>70</v>
      </c>
      <c r="G88" s="141" t="s">
        <v>684</v>
      </c>
      <c r="H88" s="23" t="s">
        <v>165</v>
      </c>
      <c r="I88" s="88"/>
      <c r="J88" s="170"/>
      <c r="K88" s="250">
        <v>1761044.73</v>
      </c>
      <c r="L88" s="213"/>
      <c r="M88" s="250">
        <v>1761044.73</v>
      </c>
      <c r="N88" s="476">
        <f t="shared" si="2"/>
        <v>1761044.73</v>
      </c>
    </row>
    <row r="89" spans="1:14" ht="65.25" customHeight="1">
      <c r="A89" s="66" t="s">
        <v>1270</v>
      </c>
      <c r="B89" s="23" t="s">
        <v>154</v>
      </c>
      <c r="C89" s="23" t="s">
        <v>649</v>
      </c>
      <c r="D89" s="23" t="s">
        <v>61</v>
      </c>
      <c r="E89" s="23" t="s">
        <v>60</v>
      </c>
      <c r="F89" s="23" t="s">
        <v>70</v>
      </c>
      <c r="G89" s="141" t="s">
        <v>684</v>
      </c>
      <c r="H89" s="23" t="s">
        <v>982</v>
      </c>
      <c r="I89" s="88"/>
      <c r="J89" s="170">
        <v>1192491</v>
      </c>
      <c r="K89" s="250">
        <v>1192491</v>
      </c>
      <c r="L89" s="213"/>
      <c r="M89" s="250"/>
      <c r="N89" s="476">
        <f t="shared" si="2"/>
        <v>1192491</v>
      </c>
    </row>
    <row r="90" spans="1:14" ht="69.75" customHeight="1">
      <c r="A90" s="66" t="s">
        <v>655</v>
      </c>
      <c r="B90" s="23" t="s">
        <v>154</v>
      </c>
      <c r="C90" s="23" t="s">
        <v>649</v>
      </c>
      <c r="D90" s="23" t="s">
        <v>61</v>
      </c>
      <c r="E90" s="23" t="s">
        <v>60</v>
      </c>
      <c r="F90" s="23" t="s">
        <v>70</v>
      </c>
      <c r="G90" s="141" t="s">
        <v>685</v>
      </c>
      <c r="H90" s="23" t="s">
        <v>165</v>
      </c>
      <c r="I90" s="88"/>
      <c r="J90" s="170">
        <v>1920892.7</v>
      </c>
      <c r="K90" s="250">
        <v>6274528.32</v>
      </c>
      <c r="L90" s="213"/>
      <c r="M90" s="250">
        <v>4353635.62</v>
      </c>
      <c r="N90" s="476">
        <f t="shared" si="2"/>
        <v>6274528.32</v>
      </c>
    </row>
    <row r="91" spans="1:14" ht="64.5" customHeight="1">
      <c r="A91" s="66" t="s">
        <v>1210</v>
      </c>
      <c r="B91" s="23" t="s">
        <v>154</v>
      </c>
      <c r="C91" s="23" t="s">
        <v>649</v>
      </c>
      <c r="D91" s="23" t="s">
        <v>61</v>
      </c>
      <c r="E91" s="23" t="s">
        <v>60</v>
      </c>
      <c r="F91" s="23" t="s">
        <v>70</v>
      </c>
      <c r="G91" s="141" t="s">
        <v>685</v>
      </c>
      <c r="H91" s="23" t="s">
        <v>982</v>
      </c>
      <c r="I91" s="88"/>
      <c r="J91" s="170"/>
      <c r="K91" s="250"/>
      <c r="L91" s="213"/>
      <c r="M91" s="250"/>
      <c r="N91" s="476">
        <f t="shared" si="2"/>
        <v>0</v>
      </c>
    </row>
    <row r="92" spans="1:14" ht="96.75" customHeight="1">
      <c r="A92" s="66" t="s">
        <v>1224</v>
      </c>
      <c r="B92" s="23" t="s">
        <v>154</v>
      </c>
      <c r="C92" s="23" t="s">
        <v>649</v>
      </c>
      <c r="D92" s="23" t="s">
        <v>61</v>
      </c>
      <c r="E92" s="23" t="s">
        <v>60</v>
      </c>
      <c r="F92" s="23" t="s">
        <v>70</v>
      </c>
      <c r="G92" s="141" t="s">
        <v>1393</v>
      </c>
      <c r="H92" s="23" t="s">
        <v>166</v>
      </c>
      <c r="I92" s="88"/>
      <c r="J92" s="170"/>
      <c r="K92" s="250"/>
      <c r="L92" s="213"/>
      <c r="M92" s="250"/>
      <c r="N92" s="476">
        <f t="shared" si="2"/>
        <v>0</v>
      </c>
    </row>
    <row r="93" spans="1:14" ht="63.75" customHeight="1">
      <c r="A93" s="66" t="s">
        <v>1215</v>
      </c>
      <c r="B93" s="23" t="s">
        <v>154</v>
      </c>
      <c r="C93" s="23" t="s">
        <v>649</v>
      </c>
      <c r="D93" s="23" t="s">
        <v>61</v>
      </c>
      <c r="E93" s="23" t="s">
        <v>60</v>
      </c>
      <c r="F93" s="23" t="s">
        <v>70</v>
      </c>
      <c r="G93" s="141" t="s">
        <v>1218</v>
      </c>
      <c r="H93" s="23" t="s">
        <v>165</v>
      </c>
      <c r="I93" s="88"/>
      <c r="J93" s="170"/>
      <c r="K93" s="250"/>
      <c r="L93" s="213"/>
      <c r="M93" s="250"/>
      <c r="N93" s="476">
        <f t="shared" si="2"/>
        <v>0</v>
      </c>
    </row>
    <row r="94" spans="1:14" ht="63.75" customHeight="1">
      <c r="A94" s="66" t="s">
        <v>1216</v>
      </c>
      <c r="B94" s="23" t="s">
        <v>154</v>
      </c>
      <c r="C94" s="23" t="s">
        <v>649</v>
      </c>
      <c r="D94" s="23" t="s">
        <v>61</v>
      </c>
      <c r="E94" s="23" t="s">
        <v>60</v>
      </c>
      <c r="F94" s="23" t="s">
        <v>70</v>
      </c>
      <c r="G94" s="141" t="s">
        <v>1219</v>
      </c>
      <c r="H94" s="23" t="s">
        <v>165</v>
      </c>
      <c r="I94" s="88"/>
      <c r="J94" s="170"/>
      <c r="K94" s="250"/>
      <c r="L94" s="213"/>
      <c r="M94" s="250"/>
      <c r="N94" s="476">
        <f t="shared" si="2"/>
        <v>0</v>
      </c>
    </row>
    <row r="95" spans="1:14" ht="66" customHeight="1">
      <c r="A95" s="66" t="s">
        <v>1217</v>
      </c>
      <c r="B95" s="23" t="s">
        <v>154</v>
      </c>
      <c r="C95" s="23" t="s">
        <v>649</v>
      </c>
      <c r="D95" s="23" t="s">
        <v>61</v>
      </c>
      <c r="E95" s="23" t="s">
        <v>93</v>
      </c>
      <c r="F95" s="23" t="s">
        <v>70</v>
      </c>
      <c r="G95" s="141" t="s">
        <v>1220</v>
      </c>
      <c r="H95" s="23" t="s">
        <v>165</v>
      </c>
      <c r="I95" s="88"/>
      <c r="J95" s="170"/>
      <c r="K95" s="34"/>
      <c r="L95" s="213"/>
      <c r="M95" s="34"/>
      <c r="N95" s="476">
        <f t="shared" si="2"/>
        <v>0</v>
      </c>
    </row>
    <row r="96" spans="1:14" ht="110.25">
      <c r="A96" s="345" t="s">
        <v>759</v>
      </c>
      <c r="B96" s="23" t="s">
        <v>154</v>
      </c>
      <c r="C96" s="23" t="s">
        <v>649</v>
      </c>
      <c r="D96" s="23" t="s">
        <v>61</v>
      </c>
      <c r="E96" s="23" t="s">
        <v>60</v>
      </c>
      <c r="F96" s="23" t="s">
        <v>70</v>
      </c>
      <c r="G96" s="141" t="s">
        <v>1356</v>
      </c>
      <c r="H96" s="23" t="s">
        <v>53</v>
      </c>
      <c r="I96" s="88"/>
      <c r="J96" s="170"/>
      <c r="K96" s="103">
        <v>1320000</v>
      </c>
      <c r="L96" s="213"/>
      <c r="M96" s="103">
        <v>1320000</v>
      </c>
      <c r="N96" s="476">
        <f t="shared" si="2"/>
        <v>1320000</v>
      </c>
    </row>
    <row r="97" spans="1:14" ht="123" customHeight="1">
      <c r="A97" s="66" t="s">
        <v>1333</v>
      </c>
      <c r="B97" s="23" t="s">
        <v>154</v>
      </c>
      <c r="C97" s="23" t="s">
        <v>649</v>
      </c>
      <c r="D97" s="23" t="s">
        <v>163</v>
      </c>
      <c r="E97" s="23" t="s">
        <v>119</v>
      </c>
      <c r="F97" s="23" t="s">
        <v>500</v>
      </c>
      <c r="G97" s="141" t="s">
        <v>1332</v>
      </c>
      <c r="H97" s="23" t="s">
        <v>166</v>
      </c>
      <c r="I97" s="88"/>
      <c r="J97" s="170"/>
      <c r="K97" s="103">
        <v>69684.75</v>
      </c>
      <c r="L97" s="213"/>
      <c r="M97" s="103">
        <v>69684.75</v>
      </c>
      <c r="N97" s="476">
        <f t="shared" si="2"/>
        <v>69684.75</v>
      </c>
    </row>
    <row r="98" spans="1:14" ht="79.5" customHeight="1">
      <c r="A98" s="235" t="s">
        <v>745</v>
      </c>
      <c r="B98" s="141" t="s">
        <v>154</v>
      </c>
      <c r="C98" s="141" t="s">
        <v>649</v>
      </c>
      <c r="D98" s="141" t="s">
        <v>61</v>
      </c>
      <c r="E98" s="141" t="s">
        <v>93</v>
      </c>
      <c r="F98" s="141" t="s">
        <v>70</v>
      </c>
      <c r="G98" s="141" t="s">
        <v>746</v>
      </c>
      <c r="H98" s="141" t="s">
        <v>53</v>
      </c>
      <c r="I98" s="172"/>
      <c r="J98" s="260"/>
      <c r="K98" s="143">
        <f>267000+278675.05+154.85</f>
        <v>545829.9</v>
      </c>
      <c r="L98" s="219"/>
      <c r="M98" s="143">
        <f>267000+278675.05+154.85</f>
        <v>545829.9</v>
      </c>
      <c r="N98" s="476">
        <f t="shared" si="2"/>
        <v>545829.9</v>
      </c>
    </row>
    <row r="99" spans="1:14" ht="70.5" customHeight="1">
      <c r="A99" s="166" t="s">
        <v>657</v>
      </c>
      <c r="B99" s="23" t="s">
        <v>154</v>
      </c>
      <c r="C99" s="23" t="s">
        <v>649</v>
      </c>
      <c r="D99" s="23" t="s">
        <v>61</v>
      </c>
      <c r="E99" s="23" t="s">
        <v>93</v>
      </c>
      <c r="F99" s="23" t="s">
        <v>70</v>
      </c>
      <c r="G99" s="141" t="s">
        <v>686</v>
      </c>
      <c r="H99" s="23" t="s">
        <v>165</v>
      </c>
      <c r="I99" s="88"/>
      <c r="J99" s="170"/>
      <c r="K99" s="103">
        <v>404820</v>
      </c>
      <c r="L99" s="213"/>
      <c r="M99" s="103">
        <v>404820</v>
      </c>
      <c r="N99" s="476">
        <f t="shared" si="2"/>
        <v>404820</v>
      </c>
    </row>
    <row r="100" spans="1:14" ht="15.75">
      <c r="A100" s="249" t="s">
        <v>138</v>
      </c>
      <c r="B100" s="32">
        <v>900</v>
      </c>
      <c r="C100" s="33" t="s">
        <v>139</v>
      </c>
      <c r="D100" s="33"/>
      <c r="E100" s="33"/>
      <c r="F100" s="33"/>
      <c r="G100" s="33"/>
      <c r="H100" s="33"/>
      <c r="I100" s="90" t="e">
        <f>#REF!+#REF!+#REF!+I101</f>
        <v>#REF!</v>
      </c>
      <c r="J100" s="498">
        <f>J101</f>
        <v>9000</v>
      </c>
      <c r="K100" s="101">
        <f>K101</f>
        <v>154000</v>
      </c>
      <c r="L100" s="101">
        <f>L101</f>
        <v>0</v>
      </c>
      <c r="M100" s="101">
        <f>M101</f>
        <v>145000</v>
      </c>
      <c r="N100" s="476">
        <f t="shared" si="2"/>
        <v>154000</v>
      </c>
    </row>
    <row r="101" spans="1:14" ht="15.75">
      <c r="A101" s="249" t="s">
        <v>140</v>
      </c>
      <c r="B101" s="32">
        <v>900</v>
      </c>
      <c r="C101" s="33" t="s">
        <v>141</v>
      </c>
      <c r="D101" s="33"/>
      <c r="E101" s="33"/>
      <c r="F101" s="33"/>
      <c r="G101" s="33"/>
      <c r="H101" s="33"/>
      <c r="I101" s="90">
        <f>I102</f>
        <v>0</v>
      </c>
      <c r="J101" s="498">
        <f>SUM(J102:J105)</f>
        <v>9000</v>
      </c>
      <c r="K101" s="101">
        <f>SUM(K102:K105)</f>
        <v>154000</v>
      </c>
      <c r="L101" s="101">
        <f>SUM(L102:L105)</f>
        <v>0</v>
      </c>
      <c r="M101" s="101">
        <f>SUM(M102:M105)</f>
        <v>145000</v>
      </c>
      <c r="N101" s="476">
        <f t="shared" si="2"/>
        <v>154000</v>
      </c>
    </row>
    <row r="102" spans="1:14" ht="52.5" customHeight="1">
      <c r="A102" s="65" t="s">
        <v>1347</v>
      </c>
      <c r="B102" s="261">
        <v>900</v>
      </c>
      <c r="C102" s="262" t="s">
        <v>141</v>
      </c>
      <c r="D102" s="262" t="s">
        <v>59</v>
      </c>
      <c r="E102" s="262" t="s">
        <v>233</v>
      </c>
      <c r="F102" s="262" t="s">
        <v>70</v>
      </c>
      <c r="G102" s="262" t="s">
        <v>1343</v>
      </c>
      <c r="H102" s="262" t="s">
        <v>165</v>
      </c>
      <c r="I102" s="224"/>
      <c r="J102" s="260"/>
      <c r="K102" s="252">
        <v>126000</v>
      </c>
      <c r="L102" s="223"/>
      <c r="M102" s="252">
        <v>126000</v>
      </c>
      <c r="N102" s="476">
        <f t="shared" si="2"/>
        <v>126000</v>
      </c>
    </row>
    <row r="103" spans="1:14" ht="78.75">
      <c r="A103" s="71" t="s">
        <v>1050</v>
      </c>
      <c r="B103" s="69">
        <v>900</v>
      </c>
      <c r="C103" s="70" t="s">
        <v>141</v>
      </c>
      <c r="D103" s="70">
        <v>11</v>
      </c>
      <c r="E103" s="70" t="s">
        <v>60</v>
      </c>
      <c r="F103" s="70" t="s">
        <v>70</v>
      </c>
      <c r="G103" s="262" t="s">
        <v>513</v>
      </c>
      <c r="H103" s="70" t="s">
        <v>165</v>
      </c>
      <c r="I103" s="92"/>
      <c r="J103" s="170"/>
      <c r="K103" s="253">
        <v>4000</v>
      </c>
      <c r="L103" s="213"/>
      <c r="M103" s="253">
        <v>4000</v>
      </c>
      <c r="N103" s="476">
        <f t="shared" si="2"/>
        <v>4000</v>
      </c>
    </row>
    <row r="104" spans="1:14" ht="51.75" customHeight="1">
      <c r="A104" s="65" t="s">
        <v>1242</v>
      </c>
      <c r="B104" s="69">
        <v>900</v>
      </c>
      <c r="C104" s="70" t="s">
        <v>141</v>
      </c>
      <c r="D104" s="70">
        <v>11</v>
      </c>
      <c r="E104" s="70" t="s">
        <v>69</v>
      </c>
      <c r="F104" s="70" t="s">
        <v>242</v>
      </c>
      <c r="G104" s="262" t="s">
        <v>1051</v>
      </c>
      <c r="H104" s="70" t="s">
        <v>165</v>
      </c>
      <c r="I104" s="92"/>
      <c r="J104" s="170">
        <v>9000</v>
      </c>
      <c r="K104" s="253">
        <v>18000</v>
      </c>
      <c r="L104" s="213"/>
      <c r="M104" s="253">
        <v>9000</v>
      </c>
      <c r="N104" s="476">
        <f t="shared" si="2"/>
        <v>18000</v>
      </c>
    </row>
    <row r="105" spans="1:14" ht="65.25" customHeight="1">
      <c r="A105" s="65" t="s">
        <v>1243</v>
      </c>
      <c r="B105" s="69">
        <v>900</v>
      </c>
      <c r="C105" s="70" t="s">
        <v>141</v>
      </c>
      <c r="D105" s="70">
        <v>11</v>
      </c>
      <c r="E105" s="70" t="s">
        <v>69</v>
      </c>
      <c r="F105" s="70" t="s">
        <v>242</v>
      </c>
      <c r="G105" s="262" t="s">
        <v>1244</v>
      </c>
      <c r="H105" s="70" t="s">
        <v>165</v>
      </c>
      <c r="I105" s="92"/>
      <c r="J105" s="170"/>
      <c r="K105" s="253">
        <v>6000</v>
      </c>
      <c r="L105" s="213"/>
      <c r="M105" s="253">
        <v>6000</v>
      </c>
      <c r="N105" s="476">
        <f t="shared" si="2"/>
        <v>6000</v>
      </c>
    </row>
    <row r="106" spans="1:14" ht="15.75">
      <c r="A106" s="249" t="s">
        <v>142</v>
      </c>
      <c r="B106" s="24" t="s">
        <v>154</v>
      </c>
      <c r="C106" s="24" t="s">
        <v>143</v>
      </c>
      <c r="D106" s="24"/>
      <c r="E106" s="24"/>
      <c r="F106" s="24"/>
      <c r="G106" s="24"/>
      <c r="H106" s="24"/>
      <c r="I106" s="25">
        <f>I107</f>
        <v>-80.6</v>
      </c>
      <c r="J106" s="293">
        <f>J107</f>
        <v>166048</v>
      </c>
      <c r="K106" s="25">
        <f>K107</f>
        <v>15084469</v>
      </c>
      <c r="L106" s="25">
        <f>L107</f>
        <v>458853.63</v>
      </c>
      <c r="M106" s="25">
        <f>M107</f>
        <v>14918421</v>
      </c>
      <c r="N106" s="476">
        <f t="shared" si="2"/>
        <v>15084469</v>
      </c>
    </row>
    <row r="107" spans="1:14" ht="15.75">
      <c r="A107" s="249" t="s">
        <v>161</v>
      </c>
      <c r="B107" s="24" t="s">
        <v>154</v>
      </c>
      <c r="C107" s="24" t="s">
        <v>162</v>
      </c>
      <c r="D107" s="24"/>
      <c r="E107" s="24"/>
      <c r="F107" s="24"/>
      <c r="G107" s="24"/>
      <c r="H107" s="24"/>
      <c r="I107" s="25">
        <f>SUM(I108:I120)</f>
        <v>-80.6</v>
      </c>
      <c r="J107" s="293">
        <f>SUM(J108:J122)</f>
        <v>166048</v>
      </c>
      <c r="K107" s="25">
        <f>SUM(K108:K122)</f>
        <v>15084469</v>
      </c>
      <c r="L107" s="25">
        <f>SUM(L108:L122)</f>
        <v>458853.63</v>
      </c>
      <c r="M107" s="25">
        <f>SUM(M108:M122)</f>
        <v>14918421</v>
      </c>
      <c r="N107" s="476">
        <f t="shared" si="2"/>
        <v>15084469</v>
      </c>
    </row>
    <row r="108" spans="1:14" ht="78.75">
      <c r="A108" s="66" t="s">
        <v>400</v>
      </c>
      <c r="B108" s="23" t="s">
        <v>154</v>
      </c>
      <c r="C108" s="23" t="s">
        <v>162</v>
      </c>
      <c r="D108" s="23" t="s">
        <v>59</v>
      </c>
      <c r="E108" s="23" t="s">
        <v>69</v>
      </c>
      <c r="F108" s="23" t="s">
        <v>70</v>
      </c>
      <c r="G108" s="141" t="s">
        <v>514</v>
      </c>
      <c r="H108" s="23" t="s">
        <v>110</v>
      </c>
      <c r="I108" s="88">
        <v>-80.6</v>
      </c>
      <c r="J108" s="170">
        <v>-606</v>
      </c>
      <c r="K108" s="216">
        <v>3921863.72</v>
      </c>
      <c r="L108" s="213">
        <v>276488.16</v>
      </c>
      <c r="M108" s="216">
        <f>3998750-61700-14580.28</f>
        <v>3922469.72</v>
      </c>
      <c r="N108" s="476">
        <f t="shared" si="2"/>
        <v>3921863.72</v>
      </c>
    </row>
    <row r="109" spans="1:14" ht="78.75" customHeight="1">
      <c r="A109" s="235" t="s">
        <v>569</v>
      </c>
      <c r="B109" s="141" t="s">
        <v>154</v>
      </c>
      <c r="C109" s="141" t="s">
        <v>162</v>
      </c>
      <c r="D109" s="141" t="s">
        <v>59</v>
      </c>
      <c r="E109" s="141" t="s">
        <v>69</v>
      </c>
      <c r="F109" s="141" t="s">
        <v>70</v>
      </c>
      <c r="G109" s="141" t="s">
        <v>572</v>
      </c>
      <c r="H109" s="141" t="s">
        <v>110</v>
      </c>
      <c r="I109" s="172"/>
      <c r="J109" s="260">
        <v>606</v>
      </c>
      <c r="K109" s="250">
        <v>15186.28</v>
      </c>
      <c r="L109" s="213"/>
      <c r="M109" s="250">
        <v>14580.28</v>
      </c>
      <c r="N109" s="476">
        <f t="shared" si="2"/>
        <v>15186.28</v>
      </c>
    </row>
    <row r="110" spans="1:14" ht="96" customHeight="1">
      <c r="A110" s="235" t="s">
        <v>515</v>
      </c>
      <c r="B110" s="141" t="s">
        <v>154</v>
      </c>
      <c r="C110" s="141" t="s">
        <v>162</v>
      </c>
      <c r="D110" s="141" t="s">
        <v>59</v>
      </c>
      <c r="E110" s="141" t="s">
        <v>69</v>
      </c>
      <c r="F110" s="141" t="s">
        <v>70</v>
      </c>
      <c r="G110" s="141" t="s">
        <v>516</v>
      </c>
      <c r="H110" s="141" t="s">
        <v>110</v>
      </c>
      <c r="I110" s="172"/>
      <c r="J110" s="260">
        <v>59962</v>
      </c>
      <c r="K110" s="250">
        <v>1503410</v>
      </c>
      <c r="L110" s="213"/>
      <c r="M110" s="250">
        <v>1443448</v>
      </c>
      <c r="N110" s="476">
        <f t="shared" si="2"/>
        <v>1503410</v>
      </c>
    </row>
    <row r="111" spans="1:14" ht="78.75">
      <c r="A111" s="66" t="s">
        <v>407</v>
      </c>
      <c r="B111" s="23" t="s">
        <v>154</v>
      </c>
      <c r="C111" s="23" t="s">
        <v>162</v>
      </c>
      <c r="D111" s="23" t="s">
        <v>59</v>
      </c>
      <c r="E111" s="23" t="s">
        <v>60</v>
      </c>
      <c r="F111" s="23" t="s">
        <v>70</v>
      </c>
      <c r="G111" s="141" t="s">
        <v>517</v>
      </c>
      <c r="H111" s="23" t="s">
        <v>110</v>
      </c>
      <c r="I111" s="88"/>
      <c r="J111" s="260">
        <v>-1072</v>
      </c>
      <c r="K111" s="250">
        <v>6589401.51</v>
      </c>
      <c r="L111" s="213">
        <v>182365.47</v>
      </c>
      <c r="M111" s="250">
        <f>6590157+26561-26244.49</f>
        <v>6590473.51</v>
      </c>
      <c r="N111" s="476">
        <f t="shared" si="2"/>
        <v>6589401.51</v>
      </c>
    </row>
    <row r="112" spans="1:14" ht="78.75" customHeight="1">
      <c r="A112" s="66" t="s">
        <v>569</v>
      </c>
      <c r="B112" s="23" t="s">
        <v>154</v>
      </c>
      <c r="C112" s="23" t="s">
        <v>162</v>
      </c>
      <c r="D112" s="23" t="s">
        <v>59</v>
      </c>
      <c r="E112" s="23" t="s">
        <v>60</v>
      </c>
      <c r="F112" s="23" t="s">
        <v>70</v>
      </c>
      <c r="G112" s="141" t="s">
        <v>572</v>
      </c>
      <c r="H112" s="23" t="s">
        <v>110</v>
      </c>
      <c r="I112" s="88"/>
      <c r="J112" s="170">
        <v>1072</v>
      </c>
      <c r="K112" s="250">
        <v>27316.49</v>
      </c>
      <c r="L112" s="213"/>
      <c r="M112" s="250">
        <v>26244.49</v>
      </c>
      <c r="N112" s="476">
        <f t="shared" si="2"/>
        <v>27316.49</v>
      </c>
    </row>
    <row r="113" spans="1:14" ht="95.25" customHeight="1">
      <c r="A113" s="66" t="s">
        <v>518</v>
      </c>
      <c r="B113" s="23" t="s">
        <v>154</v>
      </c>
      <c r="C113" s="23" t="s">
        <v>162</v>
      </c>
      <c r="D113" s="23" t="s">
        <v>59</v>
      </c>
      <c r="E113" s="23" t="s">
        <v>60</v>
      </c>
      <c r="F113" s="23" t="s">
        <v>70</v>
      </c>
      <c r="G113" s="141" t="s">
        <v>516</v>
      </c>
      <c r="H113" s="23" t="s">
        <v>110</v>
      </c>
      <c r="I113" s="88"/>
      <c r="J113" s="170">
        <v>106086</v>
      </c>
      <c r="K113" s="250">
        <v>2704291</v>
      </c>
      <c r="L113" s="213"/>
      <c r="M113" s="250">
        <v>2598205</v>
      </c>
      <c r="N113" s="476">
        <f t="shared" si="2"/>
        <v>2704291</v>
      </c>
    </row>
    <row r="114" spans="1:14" ht="65.25" customHeight="1">
      <c r="A114" s="66" t="s">
        <v>1166</v>
      </c>
      <c r="B114" s="23" t="s">
        <v>154</v>
      </c>
      <c r="C114" s="23" t="s">
        <v>162</v>
      </c>
      <c r="D114" s="23" t="s">
        <v>59</v>
      </c>
      <c r="E114" s="23" t="s">
        <v>69</v>
      </c>
      <c r="F114" s="23" t="s">
        <v>70</v>
      </c>
      <c r="G114" s="141" t="s">
        <v>1167</v>
      </c>
      <c r="H114" s="23" t="s">
        <v>110</v>
      </c>
      <c r="I114" s="88"/>
      <c r="J114" s="170"/>
      <c r="K114" s="250"/>
      <c r="L114" s="213"/>
      <c r="M114" s="250"/>
      <c r="N114" s="476">
        <f t="shared" si="2"/>
        <v>0</v>
      </c>
    </row>
    <row r="115" spans="1:14" ht="72" customHeight="1">
      <c r="A115" s="66" t="s">
        <v>1172</v>
      </c>
      <c r="B115" s="23" t="s">
        <v>154</v>
      </c>
      <c r="C115" s="23" t="s">
        <v>162</v>
      </c>
      <c r="D115" s="23" t="s">
        <v>59</v>
      </c>
      <c r="E115" s="23" t="s">
        <v>69</v>
      </c>
      <c r="F115" s="23" t="s">
        <v>70</v>
      </c>
      <c r="G115" s="141" t="s">
        <v>1173</v>
      </c>
      <c r="H115" s="23" t="s">
        <v>110</v>
      </c>
      <c r="I115" s="88"/>
      <c r="J115" s="170"/>
      <c r="K115" s="250"/>
      <c r="L115" s="213"/>
      <c r="M115" s="250"/>
      <c r="N115" s="476">
        <f t="shared" si="2"/>
        <v>0</v>
      </c>
    </row>
    <row r="116" spans="1:14" ht="62.25" customHeight="1">
      <c r="A116" s="235" t="s">
        <v>1201</v>
      </c>
      <c r="B116" s="23" t="s">
        <v>154</v>
      </c>
      <c r="C116" s="23" t="s">
        <v>162</v>
      </c>
      <c r="D116" s="23" t="s">
        <v>59</v>
      </c>
      <c r="E116" s="23" t="s">
        <v>69</v>
      </c>
      <c r="F116" s="23" t="s">
        <v>70</v>
      </c>
      <c r="G116" s="141" t="s">
        <v>1195</v>
      </c>
      <c r="H116" s="23" t="s">
        <v>110</v>
      </c>
      <c r="I116" s="88"/>
      <c r="J116" s="170"/>
      <c r="K116" s="250"/>
      <c r="L116" s="213"/>
      <c r="M116" s="250"/>
      <c r="N116" s="476">
        <f t="shared" si="2"/>
        <v>0</v>
      </c>
    </row>
    <row r="117" spans="1:14" ht="72" customHeight="1">
      <c r="A117" s="66" t="s">
        <v>1168</v>
      </c>
      <c r="B117" s="23" t="s">
        <v>154</v>
      </c>
      <c r="C117" s="23" t="s">
        <v>162</v>
      </c>
      <c r="D117" s="23" t="s">
        <v>59</v>
      </c>
      <c r="E117" s="23" t="s">
        <v>60</v>
      </c>
      <c r="F117" s="23" t="s">
        <v>70</v>
      </c>
      <c r="G117" s="141" t="s">
        <v>1169</v>
      </c>
      <c r="H117" s="23" t="s">
        <v>110</v>
      </c>
      <c r="I117" s="88"/>
      <c r="J117" s="170"/>
      <c r="K117" s="254">
        <v>191000</v>
      </c>
      <c r="L117" s="213"/>
      <c r="M117" s="254">
        <v>191000</v>
      </c>
      <c r="N117" s="476">
        <f t="shared" si="2"/>
        <v>191000</v>
      </c>
    </row>
    <row r="118" spans="1:14" ht="85.5" customHeight="1">
      <c r="A118" s="66" t="s">
        <v>1170</v>
      </c>
      <c r="B118" s="23" t="s">
        <v>154</v>
      </c>
      <c r="C118" s="23" t="s">
        <v>162</v>
      </c>
      <c r="D118" s="23" t="s">
        <v>59</v>
      </c>
      <c r="E118" s="23" t="s">
        <v>60</v>
      </c>
      <c r="F118" s="23" t="s">
        <v>70</v>
      </c>
      <c r="G118" s="141" t="s">
        <v>1171</v>
      </c>
      <c r="H118" s="23" t="s">
        <v>110</v>
      </c>
      <c r="I118" s="88"/>
      <c r="J118" s="170"/>
      <c r="K118" s="250"/>
      <c r="L118" s="213"/>
      <c r="M118" s="250"/>
      <c r="N118" s="476">
        <f t="shared" si="2"/>
        <v>0</v>
      </c>
    </row>
    <row r="119" spans="1:14" ht="65.25" customHeight="1">
      <c r="A119" s="235" t="s">
        <v>1202</v>
      </c>
      <c r="B119" s="23" t="s">
        <v>154</v>
      </c>
      <c r="C119" s="23" t="s">
        <v>162</v>
      </c>
      <c r="D119" s="23" t="s">
        <v>59</v>
      </c>
      <c r="E119" s="23" t="s">
        <v>60</v>
      </c>
      <c r="F119" s="23" t="s">
        <v>70</v>
      </c>
      <c r="G119" s="141" t="s">
        <v>1197</v>
      </c>
      <c r="H119" s="23" t="s">
        <v>110</v>
      </c>
      <c r="I119" s="88"/>
      <c r="J119" s="170"/>
      <c r="K119" s="250"/>
      <c r="L119" s="213"/>
      <c r="M119" s="250"/>
      <c r="N119" s="476">
        <f t="shared" si="2"/>
        <v>0</v>
      </c>
    </row>
    <row r="120" spans="1:14" ht="63">
      <c r="A120" s="65" t="s">
        <v>558</v>
      </c>
      <c r="B120" s="22" t="s">
        <v>154</v>
      </c>
      <c r="C120" s="22" t="s">
        <v>162</v>
      </c>
      <c r="D120" s="22" t="s">
        <v>59</v>
      </c>
      <c r="E120" s="22" t="s">
        <v>60</v>
      </c>
      <c r="F120" s="22" t="s">
        <v>70</v>
      </c>
      <c r="G120" s="141" t="s">
        <v>770</v>
      </c>
      <c r="H120" s="22" t="s">
        <v>110</v>
      </c>
      <c r="I120" s="87"/>
      <c r="J120" s="173"/>
      <c r="K120" s="250"/>
      <c r="L120" s="213"/>
      <c r="M120" s="250"/>
      <c r="N120" s="476">
        <f t="shared" si="2"/>
        <v>0</v>
      </c>
    </row>
    <row r="121" spans="1:14" ht="50.25" customHeight="1">
      <c r="A121" s="235" t="s">
        <v>1456</v>
      </c>
      <c r="B121" s="141" t="s">
        <v>154</v>
      </c>
      <c r="C121" s="141" t="s">
        <v>162</v>
      </c>
      <c r="D121" s="141" t="s">
        <v>59</v>
      </c>
      <c r="E121" s="141" t="s">
        <v>69</v>
      </c>
      <c r="F121" s="141" t="s">
        <v>120</v>
      </c>
      <c r="G121" s="141" t="s">
        <v>1342</v>
      </c>
      <c r="H121" s="141" t="s">
        <v>110</v>
      </c>
      <c r="I121" s="172"/>
      <c r="J121" s="260"/>
      <c r="K121" s="250">
        <f>70300+61700</f>
        <v>132000</v>
      </c>
      <c r="L121" s="213"/>
      <c r="M121" s="250">
        <f>70300+61700</f>
        <v>132000</v>
      </c>
      <c r="N121" s="476">
        <f t="shared" si="2"/>
        <v>132000</v>
      </c>
    </row>
    <row r="122" spans="1:14" ht="96" customHeight="1">
      <c r="A122" s="65" t="s">
        <v>1251</v>
      </c>
      <c r="B122" s="22" t="s">
        <v>154</v>
      </c>
      <c r="C122" s="22" t="s">
        <v>162</v>
      </c>
      <c r="D122" s="22" t="s">
        <v>59</v>
      </c>
      <c r="E122" s="22" t="s">
        <v>60</v>
      </c>
      <c r="F122" s="22" t="s">
        <v>70</v>
      </c>
      <c r="G122" s="141" t="s">
        <v>1250</v>
      </c>
      <c r="H122" s="22" t="s">
        <v>110</v>
      </c>
      <c r="I122" s="87"/>
      <c r="J122" s="173"/>
      <c r="K122" s="250"/>
      <c r="L122" s="213"/>
      <c r="M122" s="250"/>
      <c r="N122" s="476">
        <f t="shared" si="2"/>
        <v>0</v>
      </c>
    </row>
    <row r="123" spans="1:14" ht="15.75">
      <c r="A123" s="249" t="s">
        <v>255</v>
      </c>
      <c r="B123" s="24" t="s">
        <v>154</v>
      </c>
      <c r="C123" s="24" t="s">
        <v>256</v>
      </c>
      <c r="D123" s="24"/>
      <c r="E123" s="24"/>
      <c r="F123" s="24"/>
      <c r="G123" s="24"/>
      <c r="H123" s="24"/>
      <c r="I123" s="25" t="e">
        <f>I124+I127+#REF!</f>
        <v>#REF!</v>
      </c>
      <c r="J123" s="293">
        <f>J124+J127+J131+J129</f>
        <v>0</v>
      </c>
      <c r="K123" s="25">
        <f>K124+K127+K131+K129</f>
        <v>5597776.46</v>
      </c>
      <c r="L123" s="25">
        <f>L124+L127+L131+L129</f>
        <v>30984.94000000004</v>
      </c>
      <c r="M123" s="25">
        <f>M124+M127+M131+M129</f>
        <v>5597776.46</v>
      </c>
      <c r="N123" s="476">
        <f t="shared" si="2"/>
        <v>5597776.46</v>
      </c>
    </row>
    <row r="124" spans="1:14" ht="15.75">
      <c r="A124" s="249" t="s">
        <v>257</v>
      </c>
      <c r="B124" s="24" t="s">
        <v>154</v>
      </c>
      <c r="C124" s="24" t="s">
        <v>160</v>
      </c>
      <c r="D124" s="24"/>
      <c r="E124" s="24"/>
      <c r="F124" s="24"/>
      <c r="G124" s="24"/>
      <c r="H124" s="24"/>
      <c r="I124" s="72">
        <f>SUM(I125:I126)</f>
        <v>30</v>
      </c>
      <c r="J124" s="293">
        <f>SUM(J125:J126)</f>
        <v>0</v>
      </c>
      <c r="K124" s="25">
        <f>SUM(K125:K126)</f>
        <v>1254553.76</v>
      </c>
      <c r="L124" s="25">
        <f>SUM(L125:L126)</f>
        <v>30984.94000000004</v>
      </c>
      <c r="M124" s="25">
        <f>SUM(M125:M126)</f>
        <v>1254553.76</v>
      </c>
      <c r="N124" s="476">
        <f t="shared" si="2"/>
        <v>1254553.76</v>
      </c>
    </row>
    <row r="125" spans="1:14" ht="78.75">
      <c r="A125" s="65" t="s">
        <v>610</v>
      </c>
      <c r="B125" s="22" t="s">
        <v>154</v>
      </c>
      <c r="C125" s="22" t="s">
        <v>160</v>
      </c>
      <c r="D125" s="22" t="s">
        <v>120</v>
      </c>
      <c r="E125" s="22" t="s">
        <v>69</v>
      </c>
      <c r="F125" s="22" t="s">
        <v>120</v>
      </c>
      <c r="G125" s="141" t="s">
        <v>519</v>
      </c>
      <c r="H125" s="22" t="s">
        <v>165</v>
      </c>
      <c r="I125" s="87"/>
      <c r="J125" s="170"/>
      <c r="K125" s="250">
        <v>18540.2</v>
      </c>
      <c r="L125" s="213">
        <v>457.90000000000146</v>
      </c>
      <c r="M125" s="250">
        <v>18540.2</v>
      </c>
      <c r="N125" s="476">
        <f t="shared" si="2"/>
        <v>18540.2</v>
      </c>
    </row>
    <row r="126" spans="1:14" ht="78.75">
      <c r="A126" s="65" t="s">
        <v>471</v>
      </c>
      <c r="B126" s="22" t="s">
        <v>154</v>
      </c>
      <c r="C126" s="22" t="s">
        <v>160</v>
      </c>
      <c r="D126" s="22" t="s">
        <v>120</v>
      </c>
      <c r="E126" s="22" t="s">
        <v>69</v>
      </c>
      <c r="F126" s="22" t="s">
        <v>120</v>
      </c>
      <c r="G126" s="141" t="s">
        <v>519</v>
      </c>
      <c r="H126" s="22" t="s">
        <v>111</v>
      </c>
      <c r="I126" s="87">
        <v>30</v>
      </c>
      <c r="J126" s="170"/>
      <c r="K126" s="250">
        <v>1236013.56</v>
      </c>
      <c r="L126" s="213">
        <v>30527.040000000037</v>
      </c>
      <c r="M126" s="250">
        <v>1236013.56</v>
      </c>
      <c r="N126" s="476">
        <f t="shared" si="2"/>
        <v>1236013.56</v>
      </c>
    </row>
    <row r="127" spans="1:14" ht="15.75">
      <c r="A127" s="249" t="s">
        <v>201</v>
      </c>
      <c r="B127" s="24" t="s">
        <v>154</v>
      </c>
      <c r="C127" s="24" t="s">
        <v>202</v>
      </c>
      <c r="D127" s="24"/>
      <c r="E127" s="24"/>
      <c r="F127" s="24"/>
      <c r="G127" s="24"/>
      <c r="H127" s="24"/>
      <c r="I127" s="72" t="e">
        <f>#REF!+#REF!+#REF!</f>
        <v>#REF!</v>
      </c>
      <c r="J127" s="293">
        <f>SUM(J128:J128)</f>
        <v>0</v>
      </c>
      <c r="K127" s="25">
        <f>SUM(K128:K128)</f>
        <v>2394.7</v>
      </c>
      <c r="L127" s="25">
        <f>SUM(L128:L128)</f>
        <v>0</v>
      </c>
      <c r="M127" s="25">
        <f>SUM(M128:M128)</f>
        <v>2394.7</v>
      </c>
      <c r="N127" s="476">
        <f t="shared" si="2"/>
        <v>2394.7</v>
      </c>
    </row>
    <row r="128" spans="1:14" ht="47.25">
      <c r="A128" s="131" t="s">
        <v>1006</v>
      </c>
      <c r="B128" s="23" t="s">
        <v>154</v>
      </c>
      <c r="C128" s="23" t="s">
        <v>202</v>
      </c>
      <c r="D128" s="23" t="s">
        <v>61</v>
      </c>
      <c r="E128" s="23" t="s">
        <v>233</v>
      </c>
      <c r="F128" s="23" t="s">
        <v>70</v>
      </c>
      <c r="G128" s="141" t="s">
        <v>1012</v>
      </c>
      <c r="H128" s="23" t="s">
        <v>111</v>
      </c>
      <c r="I128" s="133"/>
      <c r="J128" s="471"/>
      <c r="K128" s="250">
        <v>2394.7</v>
      </c>
      <c r="L128" s="213"/>
      <c r="M128" s="250">
        <v>2394.7</v>
      </c>
      <c r="N128" s="476">
        <f t="shared" si="2"/>
        <v>2394.7</v>
      </c>
    </row>
    <row r="129" spans="1:14" ht="15.75">
      <c r="A129" s="249" t="s">
        <v>203</v>
      </c>
      <c r="B129" s="153" t="s">
        <v>154</v>
      </c>
      <c r="C129" s="153" t="s">
        <v>204</v>
      </c>
      <c r="D129" s="127"/>
      <c r="E129" s="127"/>
      <c r="F129" s="127"/>
      <c r="G129" s="127"/>
      <c r="H129" s="127"/>
      <c r="I129" s="133"/>
      <c r="J129" s="293">
        <f>J130</f>
        <v>0</v>
      </c>
      <c r="K129" s="163">
        <f>K130</f>
        <v>4293828</v>
      </c>
      <c r="L129" s="163">
        <f>L130</f>
        <v>0</v>
      </c>
      <c r="M129" s="163">
        <f>M130</f>
        <v>4293828</v>
      </c>
      <c r="N129" s="476">
        <f t="shared" si="2"/>
        <v>4293828</v>
      </c>
    </row>
    <row r="130" spans="1:14" ht="84" customHeight="1">
      <c r="A130" s="65" t="s">
        <v>1070</v>
      </c>
      <c r="B130" s="23" t="s">
        <v>154</v>
      </c>
      <c r="C130" s="23" t="s">
        <v>204</v>
      </c>
      <c r="D130" s="23" t="s">
        <v>61</v>
      </c>
      <c r="E130" s="23" t="s">
        <v>1071</v>
      </c>
      <c r="F130" s="23" t="s">
        <v>70</v>
      </c>
      <c r="G130" s="141" t="s">
        <v>1245</v>
      </c>
      <c r="H130" s="23" t="s">
        <v>982</v>
      </c>
      <c r="I130" s="133"/>
      <c r="J130" s="471"/>
      <c r="K130" s="250">
        <v>4293828</v>
      </c>
      <c r="L130" s="213"/>
      <c r="M130" s="250">
        <v>4293828</v>
      </c>
      <c r="N130" s="476">
        <f t="shared" si="2"/>
        <v>4293828</v>
      </c>
    </row>
    <row r="131" spans="1:14" ht="15.75">
      <c r="A131" s="160" t="s">
        <v>330</v>
      </c>
      <c r="B131" s="153" t="s">
        <v>154</v>
      </c>
      <c r="C131" s="153" t="s">
        <v>329</v>
      </c>
      <c r="D131" s="153"/>
      <c r="E131" s="153"/>
      <c r="F131" s="153"/>
      <c r="G131" s="153"/>
      <c r="H131" s="153"/>
      <c r="I131" s="159"/>
      <c r="J131" s="472">
        <f>SUM(J132:J137)</f>
        <v>0</v>
      </c>
      <c r="K131" s="192">
        <f>SUM(K132:K137)</f>
        <v>47000</v>
      </c>
      <c r="L131" s="192">
        <f>SUM(L132:L137)</f>
        <v>0</v>
      </c>
      <c r="M131" s="192">
        <f>SUM(M132:M137)</f>
        <v>47000</v>
      </c>
      <c r="N131" s="476">
        <f t="shared" si="2"/>
        <v>47000</v>
      </c>
    </row>
    <row r="132" spans="1:14" ht="66.75" customHeight="1">
      <c r="A132" s="71" t="s">
        <v>896</v>
      </c>
      <c r="B132" s="22" t="s">
        <v>154</v>
      </c>
      <c r="C132" s="22" t="s">
        <v>329</v>
      </c>
      <c r="D132" s="22" t="s">
        <v>1381</v>
      </c>
      <c r="E132" s="22" t="s">
        <v>69</v>
      </c>
      <c r="F132" s="22" t="s">
        <v>70</v>
      </c>
      <c r="G132" s="141" t="s">
        <v>876</v>
      </c>
      <c r="H132" s="22" t="s">
        <v>165</v>
      </c>
      <c r="I132" s="87"/>
      <c r="J132" s="173"/>
      <c r="K132" s="250">
        <v>0</v>
      </c>
      <c r="L132" s="213"/>
      <c r="M132" s="250">
        <v>0</v>
      </c>
      <c r="N132" s="476">
        <f t="shared" si="2"/>
        <v>0</v>
      </c>
    </row>
    <row r="133" spans="1:14" ht="66.75" customHeight="1">
      <c r="A133" s="71" t="s">
        <v>901</v>
      </c>
      <c r="B133" s="22" t="s">
        <v>154</v>
      </c>
      <c r="C133" s="22" t="s">
        <v>329</v>
      </c>
      <c r="D133" s="22" t="s">
        <v>1381</v>
      </c>
      <c r="E133" s="22" t="s">
        <v>69</v>
      </c>
      <c r="F133" s="22" t="s">
        <v>70</v>
      </c>
      <c r="G133" s="141" t="s">
        <v>964</v>
      </c>
      <c r="H133" s="22" t="s">
        <v>165</v>
      </c>
      <c r="I133" s="87"/>
      <c r="J133" s="173"/>
      <c r="K133" s="250">
        <v>0</v>
      </c>
      <c r="L133" s="213"/>
      <c r="M133" s="250">
        <v>0</v>
      </c>
      <c r="N133" s="476">
        <f t="shared" si="2"/>
        <v>0</v>
      </c>
    </row>
    <row r="134" spans="1:14" ht="66" customHeight="1">
      <c r="A134" s="237" t="s">
        <v>1389</v>
      </c>
      <c r="B134" s="141" t="s">
        <v>132</v>
      </c>
      <c r="C134" s="141" t="s">
        <v>329</v>
      </c>
      <c r="D134" s="141" t="s">
        <v>1381</v>
      </c>
      <c r="E134" s="141" t="s">
        <v>69</v>
      </c>
      <c r="F134" s="141" t="s">
        <v>120</v>
      </c>
      <c r="G134" s="141" t="s">
        <v>1391</v>
      </c>
      <c r="H134" s="22" t="s">
        <v>165</v>
      </c>
      <c r="I134" s="87"/>
      <c r="J134" s="173"/>
      <c r="K134" s="250">
        <v>30000</v>
      </c>
      <c r="L134" s="213"/>
      <c r="M134" s="250">
        <v>30000</v>
      </c>
      <c r="N134" s="476">
        <f aca="true" t="shared" si="3" ref="N134:N200">M134+J134</f>
        <v>30000</v>
      </c>
    </row>
    <row r="135" spans="1:14" ht="81" customHeight="1">
      <c r="A135" s="237" t="s">
        <v>1331</v>
      </c>
      <c r="B135" s="141" t="s">
        <v>154</v>
      </c>
      <c r="C135" s="141" t="s">
        <v>329</v>
      </c>
      <c r="D135" s="141" t="s">
        <v>1381</v>
      </c>
      <c r="E135" s="141" t="s">
        <v>69</v>
      </c>
      <c r="F135" s="141" t="s">
        <v>242</v>
      </c>
      <c r="G135" s="141" t="s">
        <v>1337</v>
      </c>
      <c r="H135" s="141" t="s">
        <v>165</v>
      </c>
      <c r="I135" s="172"/>
      <c r="J135" s="260"/>
      <c r="K135" s="250">
        <v>15000</v>
      </c>
      <c r="L135" s="222"/>
      <c r="M135" s="250">
        <v>15000</v>
      </c>
      <c r="N135" s="476">
        <f t="shared" si="3"/>
        <v>15000</v>
      </c>
    </row>
    <row r="136" spans="1:14" ht="66.75" customHeight="1">
      <c r="A136" s="237" t="s">
        <v>1417</v>
      </c>
      <c r="B136" s="141" t="s">
        <v>132</v>
      </c>
      <c r="C136" s="141" t="s">
        <v>329</v>
      </c>
      <c r="D136" s="141" t="s">
        <v>1381</v>
      </c>
      <c r="E136" s="141" t="s">
        <v>69</v>
      </c>
      <c r="F136" s="141" t="s">
        <v>120</v>
      </c>
      <c r="G136" s="141" t="s">
        <v>1419</v>
      </c>
      <c r="H136" s="141" t="s">
        <v>165</v>
      </c>
      <c r="I136" s="172"/>
      <c r="J136" s="260"/>
      <c r="K136" s="250">
        <v>2000</v>
      </c>
      <c r="L136" s="222"/>
      <c r="M136" s="250">
        <v>2000</v>
      </c>
      <c r="N136" s="476">
        <f t="shared" si="3"/>
        <v>2000</v>
      </c>
    </row>
    <row r="137" spans="1:14" ht="78.75">
      <c r="A137" s="71" t="s">
        <v>903</v>
      </c>
      <c r="B137" s="22" t="s">
        <v>154</v>
      </c>
      <c r="C137" s="22" t="s">
        <v>329</v>
      </c>
      <c r="D137" s="22" t="s">
        <v>1381</v>
      </c>
      <c r="E137" s="22" t="s">
        <v>69</v>
      </c>
      <c r="F137" s="22" t="s">
        <v>242</v>
      </c>
      <c r="G137" s="141" t="s">
        <v>965</v>
      </c>
      <c r="H137" s="22" t="s">
        <v>165</v>
      </c>
      <c r="I137" s="87"/>
      <c r="J137" s="173"/>
      <c r="K137" s="250">
        <v>0</v>
      </c>
      <c r="L137" s="213"/>
      <c r="M137" s="250">
        <v>0</v>
      </c>
      <c r="N137" s="476">
        <f t="shared" si="3"/>
        <v>0</v>
      </c>
    </row>
    <row r="138" spans="1:14" ht="15.75">
      <c r="A138" s="249" t="s">
        <v>205</v>
      </c>
      <c r="B138" s="24" t="s">
        <v>154</v>
      </c>
      <c r="C138" s="24" t="s">
        <v>206</v>
      </c>
      <c r="D138" s="24"/>
      <c r="E138" s="24"/>
      <c r="F138" s="24"/>
      <c r="G138" s="24"/>
      <c r="H138" s="24"/>
      <c r="I138" s="72">
        <f>I142</f>
        <v>0</v>
      </c>
      <c r="J138" s="293">
        <f>J142+J139</f>
        <v>79900</v>
      </c>
      <c r="K138" s="25">
        <f>K142+K139</f>
        <v>1148421</v>
      </c>
      <c r="L138" s="25">
        <f>L142+L139</f>
        <v>0</v>
      </c>
      <c r="M138" s="25">
        <f>M142+M139</f>
        <v>1068521</v>
      </c>
      <c r="N138" s="476">
        <f t="shared" si="3"/>
        <v>1148421</v>
      </c>
    </row>
    <row r="139" spans="1:14" ht="15.75">
      <c r="A139" s="249" t="s">
        <v>1036</v>
      </c>
      <c r="B139" s="24" t="s">
        <v>154</v>
      </c>
      <c r="C139" s="24" t="s">
        <v>1035</v>
      </c>
      <c r="D139" s="24"/>
      <c r="E139" s="24"/>
      <c r="F139" s="24"/>
      <c r="G139" s="24"/>
      <c r="H139" s="24"/>
      <c r="I139" s="72"/>
      <c r="J139" s="293">
        <f>SUM(J140:J141)</f>
        <v>0</v>
      </c>
      <c r="K139" s="25">
        <f>SUM(K140:K141)</f>
        <v>0</v>
      </c>
      <c r="L139" s="25">
        <f>SUM(L140:L141)</f>
        <v>0</v>
      </c>
      <c r="M139" s="25">
        <f>SUM(M140:M141)</f>
        <v>0</v>
      </c>
      <c r="N139" s="476">
        <f t="shared" si="3"/>
        <v>0</v>
      </c>
    </row>
    <row r="140" spans="1:14" ht="87.75" customHeight="1">
      <c r="A140" s="131" t="s">
        <v>1040</v>
      </c>
      <c r="B140" s="23" t="s">
        <v>154</v>
      </c>
      <c r="C140" s="23" t="s">
        <v>1035</v>
      </c>
      <c r="D140" s="23" t="s">
        <v>58</v>
      </c>
      <c r="E140" s="23" t="s">
        <v>69</v>
      </c>
      <c r="F140" s="23" t="s">
        <v>70</v>
      </c>
      <c r="G140" s="23" t="s">
        <v>1037</v>
      </c>
      <c r="H140" s="23" t="s">
        <v>982</v>
      </c>
      <c r="I140" s="133"/>
      <c r="J140" s="471"/>
      <c r="K140" s="250">
        <v>0</v>
      </c>
      <c r="L140" s="213"/>
      <c r="M140" s="250">
        <v>0</v>
      </c>
      <c r="N140" s="476">
        <f t="shared" si="3"/>
        <v>0</v>
      </c>
    </row>
    <row r="141" spans="1:14" ht="87" customHeight="1">
      <c r="A141" s="131" t="s">
        <v>1039</v>
      </c>
      <c r="B141" s="23" t="s">
        <v>154</v>
      </c>
      <c r="C141" s="23" t="s">
        <v>1035</v>
      </c>
      <c r="D141" s="23" t="s">
        <v>58</v>
      </c>
      <c r="E141" s="23" t="s">
        <v>69</v>
      </c>
      <c r="F141" s="23" t="s">
        <v>70</v>
      </c>
      <c r="G141" s="141" t="s">
        <v>1038</v>
      </c>
      <c r="H141" s="23" t="s">
        <v>982</v>
      </c>
      <c r="I141" s="133"/>
      <c r="J141" s="471"/>
      <c r="K141" s="250">
        <v>0</v>
      </c>
      <c r="L141" s="213"/>
      <c r="M141" s="250">
        <v>0</v>
      </c>
      <c r="N141" s="476">
        <f t="shared" si="3"/>
        <v>0</v>
      </c>
    </row>
    <row r="142" spans="1:14" ht="15.75">
      <c r="A142" s="249" t="s">
        <v>230</v>
      </c>
      <c r="B142" s="24" t="s">
        <v>154</v>
      </c>
      <c r="C142" s="24" t="s">
        <v>207</v>
      </c>
      <c r="D142" s="24"/>
      <c r="E142" s="24"/>
      <c r="F142" s="24"/>
      <c r="G142" s="24"/>
      <c r="H142" s="24"/>
      <c r="I142" s="72">
        <f>SUM(I143:I144)</f>
        <v>0</v>
      </c>
      <c r="J142" s="293">
        <f>SUM(J143:J145)</f>
        <v>79900</v>
      </c>
      <c r="K142" s="25">
        <f>SUM(K143:K145)</f>
        <v>1148421</v>
      </c>
      <c r="L142" s="25">
        <f>SUM(L143:L145)</f>
        <v>0</v>
      </c>
      <c r="M142" s="25">
        <f>SUM(M143:M145)</f>
        <v>1068521</v>
      </c>
      <c r="N142" s="476">
        <f t="shared" si="3"/>
        <v>1148421</v>
      </c>
    </row>
    <row r="143" spans="1:14" ht="78.75">
      <c r="A143" s="65" t="s">
        <v>676</v>
      </c>
      <c r="B143" s="23" t="s">
        <v>154</v>
      </c>
      <c r="C143" s="23" t="s">
        <v>207</v>
      </c>
      <c r="D143" s="23" t="s">
        <v>294</v>
      </c>
      <c r="E143" s="23" t="s">
        <v>69</v>
      </c>
      <c r="F143" s="23" t="s">
        <v>70</v>
      </c>
      <c r="G143" s="141" t="s">
        <v>520</v>
      </c>
      <c r="H143" s="23" t="s">
        <v>165</v>
      </c>
      <c r="I143" s="88"/>
      <c r="J143" s="170"/>
      <c r="K143" s="250">
        <v>400000</v>
      </c>
      <c r="L143" s="213"/>
      <c r="M143" s="250">
        <v>400000</v>
      </c>
      <c r="N143" s="476">
        <f t="shared" si="3"/>
        <v>400000</v>
      </c>
    </row>
    <row r="144" spans="1:14" ht="63">
      <c r="A144" s="65" t="s">
        <v>924</v>
      </c>
      <c r="B144" s="23" t="s">
        <v>154</v>
      </c>
      <c r="C144" s="23" t="s">
        <v>207</v>
      </c>
      <c r="D144" s="23" t="s">
        <v>294</v>
      </c>
      <c r="E144" s="23" t="s">
        <v>60</v>
      </c>
      <c r="F144" s="23" t="s">
        <v>70</v>
      </c>
      <c r="G144" s="141" t="s">
        <v>521</v>
      </c>
      <c r="H144" s="23" t="s">
        <v>165</v>
      </c>
      <c r="I144" s="88"/>
      <c r="J144" s="170">
        <v>79900</v>
      </c>
      <c r="K144" s="250">
        <v>247020</v>
      </c>
      <c r="L144" s="213"/>
      <c r="M144" s="250">
        <v>167120</v>
      </c>
      <c r="N144" s="476">
        <f t="shared" si="3"/>
        <v>247020</v>
      </c>
    </row>
    <row r="145" spans="1:14" ht="63">
      <c r="A145" s="65" t="s">
        <v>925</v>
      </c>
      <c r="B145" s="23" t="s">
        <v>154</v>
      </c>
      <c r="C145" s="23" t="s">
        <v>207</v>
      </c>
      <c r="D145" s="23" t="s">
        <v>294</v>
      </c>
      <c r="E145" s="23" t="s">
        <v>60</v>
      </c>
      <c r="F145" s="23" t="s">
        <v>70</v>
      </c>
      <c r="G145" s="141" t="s">
        <v>503</v>
      </c>
      <c r="H145" s="23" t="s">
        <v>165</v>
      </c>
      <c r="I145" s="88"/>
      <c r="J145" s="170"/>
      <c r="K145" s="250">
        <v>501401</v>
      </c>
      <c r="L145" s="213"/>
      <c r="M145" s="250">
        <v>501401</v>
      </c>
      <c r="N145" s="476">
        <f t="shared" si="3"/>
        <v>501401</v>
      </c>
    </row>
    <row r="146" spans="1:14" ht="15.75">
      <c r="A146" s="247" t="s">
        <v>127</v>
      </c>
      <c r="B146" s="248" t="s">
        <v>128</v>
      </c>
      <c r="C146" s="248"/>
      <c r="D146" s="248"/>
      <c r="E146" s="248"/>
      <c r="F146" s="248"/>
      <c r="G146" s="248"/>
      <c r="H146" s="248"/>
      <c r="I146" s="218">
        <f>I147</f>
        <v>0</v>
      </c>
      <c r="J146" s="468">
        <f>J147+J153</f>
        <v>0</v>
      </c>
      <c r="K146" s="218">
        <f>K147+K153</f>
        <v>1265857.24</v>
      </c>
      <c r="L146" s="218">
        <f>L147+L153</f>
        <v>30672.23999999999</v>
      </c>
      <c r="M146" s="218">
        <f>M147+M153</f>
        <v>1265857.24</v>
      </c>
      <c r="N146" s="476">
        <f t="shared" si="3"/>
        <v>1265857.24</v>
      </c>
    </row>
    <row r="147" spans="1:14" ht="15.75">
      <c r="A147" s="249" t="s">
        <v>285</v>
      </c>
      <c r="B147" s="24" t="s">
        <v>128</v>
      </c>
      <c r="C147" s="24" t="s">
        <v>286</v>
      </c>
      <c r="D147" s="24"/>
      <c r="E147" s="24"/>
      <c r="F147" s="24"/>
      <c r="G147" s="24"/>
      <c r="H147" s="24"/>
      <c r="I147" s="25">
        <f>I13+I148+I154</f>
        <v>0</v>
      </c>
      <c r="J147" s="293">
        <f>J148</f>
        <v>0</v>
      </c>
      <c r="K147" s="25">
        <f>K148</f>
        <v>1265857.24</v>
      </c>
      <c r="L147" s="25">
        <f>L148</f>
        <v>30672.23999999999</v>
      </c>
      <c r="M147" s="25">
        <f>M148</f>
        <v>1265857.24</v>
      </c>
      <c r="N147" s="476">
        <f t="shared" si="3"/>
        <v>1265857.24</v>
      </c>
    </row>
    <row r="148" spans="1:14" ht="62.25" customHeight="1">
      <c r="A148" s="249" t="s">
        <v>254</v>
      </c>
      <c r="B148" s="24" t="s">
        <v>128</v>
      </c>
      <c r="C148" s="24" t="s">
        <v>130</v>
      </c>
      <c r="D148" s="24"/>
      <c r="E148" s="24"/>
      <c r="F148" s="24"/>
      <c r="G148" s="24"/>
      <c r="H148" s="24"/>
      <c r="I148" s="72">
        <f>SUM(I150:I152)</f>
        <v>0</v>
      </c>
      <c r="J148" s="293">
        <f>SUM(J149:J152)</f>
        <v>0</v>
      </c>
      <c r="K148" s="25">
        <f>SUM(K149:K152)</f>
        <v>1265857.24</v>
      </c>
      <c r="L148" s="25">
        <f>SUM(L149:L152)</f>
        <v>30672.23999999999</v>
      </c>
      <c r="M148" s="25">
        <f>SUM(M149:M152)</f>
        <v>1265857.24</v>
      </c>
      <c r="N148" s="476">
        <f t="shared" si="3"/>
        <v>1265857.24</v>
      </c>
    </row>
    <row r="149" spans="1:14" ht="100.5" customHeight="1">
      <c r="A149" s="131" t="s">
        <v>983</v>
      </c>
      <c r="B149" s="23" t="s">
        <v>128</v>
      </c>
      <c r="C149" s="23" t="s">
        <v>130</v>
      </c>
      <c r="D149" s="23" t="s">
        <v>120</v>
      </c>
      <c r="E149" s="23" t="s">
        <v>60</v>
      </c>
      <c r="F149" s="23" t="s">
        <v>120</v>
      </c>
      <c r="G149" s="141" t="s">
        <v>560</v>
      </c>
      <c r="H149" s="23" t="s">
        <v>164</v>
      </c>
      <c r="I149" s="133"/>
      <c r="J149" s="471"/>
      <c r="K149" s="250">
        <v>489343.68</v>
      </c>
      <c r="L149" s="213">
        <v>20623.679999999993</v>
      </c>
      <c r="M149" s="250">
        <v>489343.68</v>
      </c>
      <c r="N149" s="476">
        <f t="shared" si="3"/>
        <v>489343.68</v>
      </c>
    </row>
    <row r="150" spans="1:14" ht="81" customHeight="1">
      <c r="A150" s="65" t="s">
        <v>522</v>
      </c>
      <c r="B150" s="22" t="s">
        <v>128</v>
      </c>
      <c r="C150" s="22" t="s">
        <v>130</v>
      </c>
      <c r="D150" s="22" t="s">
        <v>120</v>
      </c>
      <c r="E150" s="22" t="s">
        <v>60</v>
      </c>
      <c r="F150" s="22" t="s">
        <v>120</v>
      </c>
      <c r="G150" s="141" t="s">
        <v>523</v>
      </c>
      <c r="H150" s="22" t="s">
        <v>164</v>
      </c>
      <c r="I150" s="87">
        <v>14.3</v>
      </c>
      <c r="J150" s="170"/>
      <c r="K150" s="250">
        <v>237904.56</v>
      </c>
      <c r="L150" s="213">
        <v>10048.559999999998</v>
      </c>
      <c r="M150" s="250">
        <v>237904.56</v>
      </c>
      <c r="N150" s="476">
        <f t="shared" si="3"/>
        <v>237904.56</v>
      </c>
    </row>
    <row r="151" spans="1:14" ht="52.5" customHeight="1">
      <c r="A151" s="65" t="s">
        <v>593</v>
      </c>
      <c r="B151" s="22" t="s">
        <v>128</v>
      </c>
      <c r="C151" s="22" t="s">
        <v>130</v>
      </c>
      <c r="D151" s="22" t="s">
        <v>120</v>
      </c>
      <c r="E151" s="22" t="s">
        <v>60</v>
      </c>
      <c r="F151" s="22" t="s">
        <v>120</v>
      </c>
      <c r="G151" s="141" t="s">
        <v>523</v>
      </c>
      <c r="H151" s="22" t="s">
        <v>165</v>
      </c>
      <c r="I151" s="87">
        <v>-14.3</v>
      </c>
      <c r="J151" s="173"/>
      <c r="K151" s="250">
        <v>520479</v>
      </c>
      <c r="L151" s="213"/>
      <c r="M151" s="250">
        <v>520479</v>
      </c>
      <c r="N151" s="476">
        <f t="shared" si="3"/>
        <v>520479</v>
      </c>
    </row>
    <row r="152" spans="1:14" ht="36" customHeight="1">
      <c r="A152" s="65" t="s">
        <v>966</v>
      </c>
      <c r="B152" s="22" t="s">
        <v>128</v>
      </c>
      <c r="C152" s="22" t="s">
        <v>130</v>
      </c>
      <c r="D152" s="22" t="s">
        <v>120</v>
      </c>
      <c r="E152" s="22" t="s">
        <v>60</v>
      </c>
      <c r="F152" s="22" t="s">
        <v>120</v>
      </c>
      <c r="G152" s="141" t="s">
        <v>523</v>
      </c>
      <c r="H152" s="22" t="s">
        <v>111</v>
      </c>
      <c r="I152" s="87"/>
      <c r="J152" s="173"/>
      <c r="K152" s="250">
        <v>18130</v>
      </c>
      <c r="L152" s="213"/>
      <c r="M152" s="250">
        <v>18130</v>
      </c>
      <c r="N152" s="476">
        <f t="shared" si="3"/>
        <v>18130</v>
      </c>
    </row>
    <row r="153" spans="1:14" ht="15.75">
      <c r="A153" s="249" t="s">
        <v>255</v>
      </c>
      <c r="B153" s="24" t="s">
        <v>128</v>
      </c>
      <c r="C153" s="24" t="s">
        <v>256</v>
      </c>
      <c r="D153" s="127"/>
      <c r="E153" s="127"/>
      <c r="F153" s="127"/>
      <c r="G153" s="127"/>
      <c r="H153" s="127"/>
      <c r="I153" s="154"/>
      <c r="J153" s="293">
        <f>J154</f>
        <v>0</v>
      </c>
      <c r="K153" s="255">
        <f>K154</f>
        <v>0</v>
      </c>
      <c r="L153" s="213"/>
      <c r="M153" s="255">
        <f>M154</f>
        <v>0</v>
      </c>
      <c r="N153" s="476">
        <f t="shared" si="3"/>
        <v>0</v>
      </c>
    </row>
    <row r="154" spans="1:14" ht="15.75">
      <c r="A154" s="249" t="s">
        <v>316</v>
      </c>
      <c r="B154" s="24" t="s">
        <v>128</v>
      </c>
      <c r="C154" s="24" t="s">
        <v>329</v>
      </c>
      <c r="D154" s="24"/>
      <c r="E154" s="24"/>
      <c r="F154" s="24"/>
      <c r="G154" s="24"/>
      <c r="H154" s="24"/>
      <c r="I154" s="25">
        <f>I156</f>
        <v>0</v>
      </c>
      <c r="J154" s="293">
        <f>SUM(J155:J156)</f>
        <v>0</v>
      </c>
      <c r="K154" s="165">
        <f>SUM(K155:K156)</f>
        <v>0</v>
      </c>
      <c r="L154" s="213"/>
      <c r="M154" s="165">
        <f>SUM(M155:M156)</f>
        <v>0</v>
      </c>
      <c r="N154" s="476">
        <f t="shared" si="3"/>
        <v>0</v>
      </c>
    </row>
    <row r="155" spans="1:14" ht="63">
      <c r="A155" s="162" t="s">
        <v>945</v>
      </c>
      <c r="B155" s="23" t="s">
        <v>128</v>
      </c>
      <c r="C155" s="23" t="s">
        <v>329</v>
      </c>
      <c r="D155" s="23" t="s">
        <v>1381</v>
      </c>
      <c r="E155" s="23" t="s">
        <v>69</v>
      </c>
      <c r="F155" s="23" t="s">
        <v>120</v>
      </c>
      <c r="G155" s="23" t="s">
        <v>967</v>
      </c>
      <c r="H155" s="23" t="s">
        <v>165</v>
      </c>
      <c r="I155" s="25"/>
      <c r="J155" s="173"/>
      <c r="K155" s="250"/>
      <c r="L155" s="213"/>
      <c r="M155" s="250"/>
      <c r="N155" s="476">
        <f t="shared" si="3"/>
        <v>0</v>
      </c>
    </row>
    <row r="156" spans="1:14" ht="63.75" customHeight="1">
      <c r="A156" s="71" t="s">
        <v>899</v>
      </c>
      <c r="B156" s="22" t="s">
        <v>128</v>
      </c>
      <c r="C156" s="22" t="s">
        <v>329</v>
      </c>
      <c r="D156" s="22" t="s">
        <v>1381</v>
      </c>
      <c r="E156" s="22" t="s">
        <v>69</v>
      </c>
      <c r="F156" s="22" t="s">
        <v>70</v>
      </c>
      <c r="G156" s="141" t="s">
        <v>540</v>
      </c>
      <c r="H156" s="22" t="s">
        <v>165</v>
      </c>
      <c r="I156" s="87"/>
      <c r="J156" s="173"/>
      <c r="K156" s="250"/>
      <c r="L156" s="213"/>
      <c r="M156" s="250"/>
      <c r="N156" s="476">
        <f t="shared" si="3"/>
        <v>0</v>
      </c>
    </row>
    <row r="157" spans="1:14" ht="31.5">
      <c r="A157" s="247" t="s">
        <v>90</v>
      </c>
      <c r="B157" s="248" t="s">
        <v>132</v>
      </c>
      <c r="C157" s="248"/>
      <c r="D157" s="248"/>
      <c r="E157" s="248"/>
      <c r="F157" s="248"/>
      <c r="G157" s="248"/>
      <c r="H157" s="248"/>
      <c r="I157" s="218" t="e">
        <f>I158+I224</f>
        <v>#REF!</v>
      </c>
      <c r="J157" s="468">
        <f>J158+J224</f>
        <v>4816086.15</v>
      </c>
      <c r="K157" s="203">
        <f>K158+K224</f>
        <v>232217777.62</v>
      </c>
      <c r="L157" s="203">
        <f>L158+L224</f>
        <v>11014335.91</v>
      </c>
      <c r="M157" s="203">
        <f>M158+M224</f>
        <v>227401691.47</v>
      </c>
      <c r="N157" s="476">
        <f t="shared" si="3"/>
        <v>232217777.62</v>
      </c>
    </row>
    <row r="158" spans="1:14" ht="15.75">
      <c r="A158" s="249" t="s">
        <v>138</v>
      </c>
      <c r="B158" s="24" t="s">
        <v>132</v>
      </c>
      <c r="C158" s="24" t="s">
        <v>139</v>
      </c>
      <c r="D158" s="24"/>
      <c r="E158" s="24"/>
      <c r="F158" s="24"/>
      <c r="G158" s="24"/>
      <c r="H158" s="24"/>
      <c r="I158" s="25" t="e">
        <f>I159+I172+I213+I219</f>
        <v>#REF!</v>
      </c>
      <c r="J158" s="293">
        <f>J159+J172+J204+J213+J219</f>
        <v>4816086.15</v>
      </c>
      <c r="K158" s="165">
        <f>K159+K172+K204+K213+K219</f>
        <v>229953764.82</v>
      </c>
      <c r="L158" s="165">
        <f>L159+L172+L204+L213+L219</f>
        <v>11014335.91</v>
      </c>
      <c r="M158" s="165">
        <f>M159+M172+M204+M213+M219</f>
        <v>225137678.67</v>
      </c>
      <c r="N158" s="476">
        <f t="shared" si="3"/>
        <v>229953764.82</v>
      </c>
    </row>
    <row r="159" spans="1:14" ht="15.75">
      <c r="A159" s="249" t="s">
        <v>133</v>
      </c>
      <c r="B159" s="24" t="s">
        <v>132</v>
      </c>
      <c r="C159" s="24" t="s">
        <v>237</v>
      </c>
      <c r="D159" s="24"/>
      <c r="E159" s="24"/>
      <c r="F159" s="24"/>
      <c r="G159" s="24"/>
      <c r="H159" s="24"/>
      <c r="I159" s="25">
        <f>SUM(I160:I171)</f>
        <v>500</v>
      </c>
      <c r="J159" s="293">
        <f>SUM(J160:J171)</f>
        <v>450579</v>
      </c>
      <c r="K159" s="165">
        <f>SUM(K160:K171)</f>
        <v>83313397.38</v>
      </c>
      <c r="L159" s="165">
        <f>SUM(L160:L171)</f>
        <v>6184032.74</v>
      </c>
      <c r="M159" s="165">
        <f>SUM(M160:M171)</f>
        <v>82862818.38</v>
      </c>
      <c r="N159" s="476">
        <f t="shared" si="3"/>
        <v>83313397.38</v>
      </c>
    </row>
    <row r="160" spans="1:14" ht="78.75">
      <c r="A160" s="256" t="s">
        <v>433</v>
      </c>
      <c r="B160" s="22" t="s">
        <v>132</v>
      </c>
      <c r="C160" s="22" t="s">
        <v>237</v>
      </c>
      <c r="D160" s="22" t="s">
        <v>231</v>
      </c>
      <c r="E160" s="22" t="s">
        <v>69</v>
      </c>
      <c r="F160" s="22" t="s">
        <v>70</v>
      </c>
      <c r="G160" s="141" t="s">
        <v>524</v>
      </c>
      <c r="H160" s="22" t="s">
        <v>110</v>
      </c>
      <c r="I160" s="87">
        <v>500</v>
      </c>
      <c r="J160" s="170"/>
      <c r="K160" s="205">
        <v>3747158.63</v>
      </c>
      <c r="L160" s="213"/>
      <c r="M160" s="205">
        <v>3747158.63</v>
      </c>
      <c r="N160" s="476">
        <f t="shared" si="3"/>
        <v>3747158.63</v>
      </c>
    </row>
    <row r="161" spans="1:14" ht="132" customHeight="1">
      <c r="A161" s="65" t="s">
        <v>702</v>
      </c>
      <c r="B161" s="22" t="s">
        <v>132</v>
      </c>
      <c r="C161" s="22" t="s">
        <v>237</v>
      </c>
      <c r="D161" s="22" t="s">
        <v>231</v>
      </c>
      <c r="E161" s="22" t="s">
        <v>69</v>
      </c>
      <c r="F161" s="22" t="s">
        <v>70</v>
      </c>
      <c r="G161" s="141" t="s">
        <v>718</v>
      </c>
      <c r="H161" s="22" t="s">
        <v>110</v>
      </c>
      <c r="I161" s="87"/>
      <c r="J161" s="260"/>
      <c r="K161" s="250">
        <f>11006249.37+5074666.24</f>
        <v>16080915.61</v>
      </c>
      <c r="L161" s="213">
        <v>5074666.24</v>
      </c>
      <c r="M161" s="250">
        <f>11006249.37+5074666.24</f>
        <v>16080915.61</v>
      </c>
      <c r="N161" s="476">
        <f t="shared" si="3"/>
        <v>16080915.61</v>
      </c>
    </row>
    <row r="162" spans="1:14" ht="82.5" customHeight="1">
      <c r="A162" s="235" t="s">
        <v>1161</v>
      </c>
      <c r="B162" s="141" t="s">
        <v>132</v>
      </c>
      <c r="C162" s="141" t="s">
        <v>237</v>
      </c>
      <c r="D162" s="141" t="s">
        <v>231</v>
      </c>
      <c r="E162" s="141" t="s">
        <v>69</v>
      </c>
      <c r="F162" s="141" t="s">
        <v>70</v>
      </c>
      <c r="G162" s="141" t="s">
        <v>1151</v>
      </c>
      <c r="H162" s="141" t="s">
        <v>110</v>
      </c>
      <c r="I162" s="172"/>
      <c r="J162" s="260"/>
      <c r="K162" s="205">
        <v>541760.24</v>
      </c>
      <c r="L162" s="215"/>
      <c r="M162" s="205">
        <v>541760.24</v>
      </c>
      <c r="N162" s="476">
        <f t="shared" si="3"/>
        <v>541760.24</v>
      </c>
    </row>
    <row r="163" spans="1:14" ht="96.75" customHeight="1">
      <c r="A163" s="65" t="s">
        <v>703</v>
      </c>
      <c r="B163" s="22" t="s">
        <v>132</v>
      </c>
      <c r="C163" s="22" t="s">
        <v>237</v>
      </c>
      <c r="D163" s="22" t="s">
        <v>231</v>
      </c>
      <c r="E163" s="22" t="s">
        <v>69</v>
      </c>
      <c r="F163" s="22" t="s">
        <v>70</v>
      </c>
      <c r="G163" s="141" t="s">
        <v>719</v>
      </c>
      <c r="H163" s="22" t="s">
        <v>110</v>
      </c>
      <c r="I163" s="87"/>
      <c r="J163" s="173"/>
      <c r="K163" s="250">
        <v>6900121.97</v>
      </c>
      <c r="L163" s="213"/>
      <c r="M163" s="250">
        <v>6900121.97</v>
      </c>
      <c r="N163" s="476">
        <f t="shared" si="3"/>
        <v>6900121.97</v>
      </c>
    </row>
    <row r="164" spans="1:14" ht="92.25" customHeight="1">
      <c r="A164" s="65" t="s">
        <v>704</v>
      </c>
      <c r="B164" s="22" t="s">
        <v>132</v>
      </c>
      <c r="C164" s="22" t="s">
        <v>237</v>
      </c>
      <c r="D164" s="22" t="s">
        <v>231</v>
      </c>
      <c r="E164" s="22" t="s">
        <v>69</v>
      </c>
      <c r="F164" s="22" t="s">
        <v>70</v>
      </c>
      <c r="G164" s="141" t="s">
        <v>721</v>
      </c>
      <c r="H164" s="22" t="s">
        <v>110</v>
      </c>
      <c r="I164" s="87"/>
      <c r="J164" s="170"/>
      <c r="K164" s="250">
        <v>6330351.98</v>
      </c>
      <c r="L164" s="213"/>
      <c r="M164" s="250">
        <v>6330351.98</v>
      </c>
      <c r="N164" s="476">
        <f t="shared" si="3"/>
        <v>6330351.98</v>
      </c>
    </row>
    <row r="165" spans="1:14" ht="82.5" customHeight="1">
      <c r="A165" s="264" t="s">
        <v>435</v>
      </c>
      <c r="B165" s="141" t="s">
        <v>132</v>
      </c>
      <c r="C165" s="141" t="s">
        <v>237</v>
      </c>
      <c r="D165" s="141" t="s">
        <v>231</v>
      </c>
      <c r="E165" s="141" t="s">
        <v>69</v>
      </c>
      <c r="F165" s="141" t="s">
        <v>70</v>
      </c>
      <c r="G165" s="141" t="s">
        <v>525</v>
      </c>
      <c r="H165" s="141" t="s">
        <v>110</v>
      </c>
      <c r="I165" s="172"/>
      <c r="J165" s="260"/>
      <c r="K165" s="205">
        <v>6856977.95</v>
      </c>
      <c r="L165" s="214">
        <v>1109366.5</v>
      </c>
      <c r="M165" s="205">
        <v>6856977.95</v>
      </c>
      <c r="N165" s="476">
        <f t="shared" si="3"/>
        <v>6856977.95</v>
      </c>
    </row>
    <row r="166" spans="1:14" ht="82.5" customHeight="1">
      <c r="A166" s="235" t="s">
        <v>1162</v>
      </c>
      <c r="B166" s="141" t="s">
        <v>132</v>
      </c>
      <c r="C166" s="141" t="s">
        <v>237</v>
      </c>
      <c r="D166" s="141" t="s">
        <v>231</v>
      </c>
      <c r="E166" s="141" t="s">
        <v>69</v>
      </c>
      <c r="F166" s="141" t="s">
        <v>70</v>
      </c>
      <c r="G166" s="141" t="s">
        <v>1152</v>
      </c>
      <c r="H166" s="141" t="s">
        <v>110</v>
      </c>
      <c r="I166" s="172"/>
      <c r="J166" s="260"/>
      <c r="K166" s="250">
        <v>257000</v>
      </c>
      <c r="L166" s="215"/>
      <c r="M166" s="250">
        <v>257000</v>
      </c>
      <c r="N166" s="476">
        <f t="shared" si="3"/>
        <v>257000</v>
      </c>
    </row>
    <row r="167" spans="1:14" ht="98.25" customHeight="1">
      <c r="A167" s="235" t="s">
        <v>1203</v>
      </c>
      <c r="B167" s="141" t="s">
        <v>132</v>
      </c>
      <c r="C167" s="141" t="s">
        <v>237</v>
      </c>
      <c r="D167" s="141" t="s">
        <v>231</v>
      </c>
      <c r="E167" s="141" t="s">
        <v>69</v>
      </c>
      <c r="F167" s="141" t="s">
        <v>70</v>
      </c>
      <c r="G167" s="141" t="s">
        <v>1183</v>
      </c>
      <c r="H167" s="141" t="s">
        <v>110</v>
      </c>
      <c r="I167" s="172"/>
      <c r="J167" s="260"/>
      <c r="K167" s="250"/>
      <c r="L167" s="215"/>
      <c r="M167" s="250"/>
      <c r="N167" s="476">
        <f t="shared" si="3"/>
        <v>0</v>
      </c>
    </row>
    <row r="168" spans="1:14" ht="66" customHeight="1">
      <c r="A168" s="235" t="s">
        <v>1204</v>
      </c>
      <c r="B168" s="141" t="s">
        <v>132</v>
      </c>
      <c r="C168" s="141" t="s">
        <v>237</v>
      </c>
      <c r="D168" s="141" t="s">
        <v>231</v>
      </c>
      <c r="E168" s="141" t="s">
        <v>69</v>
      </c>
      <c r="F168" s="141" t="s">
        <v>70</v>
      </c>
      <c r="G168" s="141" t="s">
        <v>1184</v>
      </c>
      <c r="H168" s="141" t="s">
        <v>110</v>
      </c>
      <c r="I168" s="172"/>
      <c r="J168" s="260"/>
      <c r="K168" s="250"/>
      <c r="L168" s="215"/>
      <c r="M168" s="250"/>
      <c r="N168" s="476">
        <f t="shared" si="3"/>
        <v>0</v>
      </c>
    </row>
    <row r="169" spans="1:14" ht="96.75" customHeight="1">
      <c r="A169" s="256" t="s">
        <v>1042</v>
      </c>
      <c r="B169" s="22" t="s">
        <v>132</v>
      </c>
      <c r="C169" s="22" t="s">
        <v>237</v>
      </c>
      <c r="D169" s="22" t="s">
        <v>1043</v>
      </c>
      <c r="E169" s="22" t="s">
        <v>69</v>
      </c>
      <c r="F169" s="22" t="s">
        <v>70</v>
      </c>
      <c r="G169" s="141" t="s">
        <v>1044</v>
      </c>
      <c r="H169" s="22" t="s">
        <v>110</v>
      </c>
      <c r="I169" s="87"/>
      <c r="J169" s="173"/>
      <c r="K169" s="250"/>
      <c r="L169" s="213"/>
      <c r="M169" s="250"/>
      <c r="N169" s="476">
        <f t="shared" si="3"/>
        <v>0</v>
      </c>
    </row>
    <row r="170" spans="1:14" ht="152.25" customHeight="1">
      <c r="A170" s="238" t="s">
        <v>437</v>
      </c>
      <c r="B170" s="22" t="s">
        <v>132</v>
      </c>
      <c r="C170" s="22" t="s">
        <v>237</v>
      </c>
      <c r="D170" s="22" t="s">
        <v>231</v>
      </c>
      <c r="E170" s="22" t="s">
        <v>69</v>
      </c>
      <c r="F170" s="22" t="s">
        <v>70</v>
      </c>
      <c r="G170" s="141" t="s">
        <v>526</v>
      </c>
      <c r="H170" s="22" t="s">
        <v>110</v>
      </c>
      <c r="I170" s="87"/>
      <c r="J170" s="173"/>
      <c r="K170" s="250">
        <v>298092</v>
      </c>
      <c r="L170" s="213"/>
      <c r="M170" s="250">
        <v>298092</v>
      </c>
      <c r="N170" s="476">
        <f t="shared" si="3"/>
        <v>298092</v>
      </c>
    </row>
    <row r="171" spans="1:14" ht="141" customHeight="1">
      <c r="A171" s="71" t="s">
        <v>1395</v>
      </c>
      <c r="B171" s="23" t="s">
        <v>132</v>
      </c>
      <c r="C171" s="23" t="s">
        <v>237</v>
      </c>
      <c r="D171" s="23" t="s">
        <v>231</v>
      </c>
      <c r="E171" s="23" t="s">
        <v>69</v>
      </c>
      <c r="F171" s="23" t="s">
        <v>70</v>
      </c>
      <c r="G171" s="141" t="s">
        <v>527</v>
      </c>
      <c r="H171" s="23" t="s">
        <v>110</v>
      </c>
      <c r="I171" s="88"/>
      <c r="J171" s="170">
        <v>450579</v>
      </c>
      <c r="K171" s="250">
        <v>42301019</v>
      </c>
      <c r="L171" s="213"/>
      <c r="M171" s="250">
        <v>41850440</v>
      </c>
      <c r="N171" s="476">
        <f t="shared" si="3"/>
        <v>42301019</v>
      </c>
    </row>
    <row r="172" spans="1:14" ht="15.75">
      <c r="A172" s="249" t="s">
        <v>238</v>
      </c>
      <c r="B172" s="24" t="s">
        <v>132</v>
      </c>
      <c r="C172" s="24" t="s">
        <v>239</v>
      </c>
      <c r="D172" s="24"/>
      <c r="E172" s="24"/>
      <c r="F172" s="24"/>
      <c r="G172" s="24"/>
      <c r="H172" s="24"/>
      <c r="I172" s="25" t="e">
        <f>I173+I188+I195+#REF!+#REF!+#REF!+I196+#REF!+I197+I198+I199+#REF!+#REF!+I203+I204</f>
        <v>#REF!</v>
      </c>
      <c r="J172" s="293">
        <f>J173+J188+J196+J197+J198+J199+J203+J200+J201+J202</f>
        <v>4313659.15</v>
      </c>
      <c r="K172" s="293">
        <f>K173+K188+K196+K197+K198+K199+K203+K200+K201+K202</f>
        <v>134792231.86</v>
      </c>
      <c r="L172" s="25">
        <f>L173+L188+SUM(L196:L203)</f>
        <v>4248087.48</v>
      </c>
      <c r="M172" s="25">
        <f>M173+M188+SUM(M196:M203)</f>
        <v>130478572.71000001</v>
      </c>
      <c r="N172" s="476">
        <f t="shared" si="3"/>
        <v>134792231.86</v>
      </c>
    </row>
    <row r="173" spans="1:14" ht="15.75">
      <c r="A173" s="257" t="s">
        <v>48</v>
      </c>
      <c r="B173" s="21" t="s">
        <v>132</v>
      </c>
      <c r="C173" s="21" t="s">
        <v>239</v>
      </c>
      <c r="D173" s="21"/>
      <c r="E173" s="21"/>
      <c r="F173" s="21"/>
      <c r="G173" s="21"/>
      <c r="H173" s="21"/>
      <c r="I173" s="73" t="e">
        <f>I174+I184+#REF!+#REF!+#REF!+#REF!</f>
        <v>#REF!</v>
      </c>
      <c r="J173" s="473">
        <f>SUM(J174:J187)</f>
        <v>3212800.2</v>
      </c>
      <c r="K173" s="73">
        <f>SUM(K174:K187)</f>
        <v>35068123.410000004</v>
      </c>
      <c r="L173" s="73">
        <f>SUM(L174:L187)</f>
        <v>2221029.72</v>
      </c>
      <c r="M173" s="73">
        <f>SUM(M174:M187)</f>
        <v>31855323.21</v>
      </c>
      <c r="N173" s="476">
        <f t="shared" si="3"/>
        <v>35068123.410000004</v>
      </c>
    </row>
    <row r="174" spans="1:14" ht="75" customHeight="1">
      <c r="A174" s="65" t="s">
        <v>443</v>
      </c>
      <c r="B174" s="22" t="s">
        <v>132</v>
      </c>
      <c r="C174" s="22" t="s">
        <v>239</v>
      </c>
      <c r="D174" s="22" t="s">
        <v>231</v>
      </c>
      <c r="E174" s="22" t="s">
        <v>60</v>
      </c>
      <c r="F174" s="22" t="s">
        <v>70</v>
      </c>
      <c r="G174" s="141" t="s">
        <v>528</v>
      </c>
      <c r="H174" s="22" t="s">
        <v>110</v>
      </c>
      <c r="I174" s="87"/>
      <c r="J174" s="170"/>
      <c r="K174" s="205">
        <v>6204730.76</v>
      </c>
      <c r="L174" s="213"/>
      <c r="M174" s="205">
        <v>6204730.76</v>
      </c>
      <c r="N174" s="476">
        <f t="shared" si="3"/>
        <v>6204730.76</v>
      </c>
    </row>
    <row r="175" spans="1:14" ht="110.25">
      <c r="A175" s="71" t="s">
        <v>706</v>
      </c>
      <c r="B175" s="22" t="s">
        <v>132</v>
      </c>
      <c r="C175" s="22" t="s">
        <v>239</v>
      </c>
      <c r="D175" s="22" t="s">
        <v>231</v>
      </c>
      <c r="E175" s="22" t="s">
        <v>60</v>
      </c>
      <c r="F175" s="22" t="s">
        <v>70</v>
      </c>
      <c r="G175" s="141" t="s">
        <v>722</v>
      </c>
      <c r="H175" s="22" t="s">
        <v>110</v>
      </c>
      <c r="I175" s="87"/>
      <c r="J175" s="173"/>
      <c r="K175" s="205">
        <v>8414240.49</v>
      </c>
      <c r="L175" s="213">
        <v>2221029.72</v>
      </c>
      <c r="M175" s="205">
        <v>8414240.49</v>
      </c>
      <c r="N175" s="476">
        <f t="shared" si="3"/>
        <v>8414240.49</v>
      </c>
    </row>
    <row r="176" spans="1:14" ht="77.25" customHeight="1">
      <c r="A176" s="71" t="s">
        <v>707</v>
      </c>
      <c r="B176" s="22" t="s">
        <v>132</v>
      </c>
      <c r="C176" s="22" t="s">
        <v>239</v>
      </c>
      <c r="D176" s="22" t="s">
        <v>231</v>
      </c>
      <c r="E176" s="22" t="s">
        <v>60</v>
      </c>
      <c r="F176" s="22" t="s">
        <v>70</v>
      </c>
      <c r="G176" s="141" t="s">
        <v>723</v>
      </c>
      <c r="H176" s="22" t="s">
        <v>110</v>
      </c>
      <c r="I176" s="87"/>
      <c r="J176" s="173"/>
      <c r="K176" s="250">
        <v>7229704.11</v>
      </c>
      <c r="L176" s="213"/>
      <c r="M176" s="250">
        <v>7229704.11</v>
      </c>
      <c r="N176" s="476">
        <f t="shared" si="3"/>
        <v>7229704.11</v>
      </c>
    </row>
    <row r="177" spans="1:14" ht="81.75" customHeight="1">
      <c r="A177" s="71" t="s">
        <v>1163</v>
      </c>
      <c r="B177" s="22" t="s">
        <v>132</v>
      </c>
      <c r="C177" s="22" t="s">
        <v>239</v>
      </c>
      <c r="D177" s="22" t="s">
        <v>231</v>
      </c>
      <c r="E177" s="22" t="s">
        <v>60</v>
      </c>
      <c r="F177" s="22" t="s">
        <v>70</v>
      </c>
      <c r="G177" s="141" t="s">
        <v>1153</v>
      </c>
      <c r="H177" s="22" t="s">
        <v>110</v>
      </c>
      <c r="I177" s="87"/>
      <c r="J177" s="170"/>
      <c r="K177" s="205">
        <v>780353.93</v>
      </c>
      <c r="L177" s="213"/>
      <c r="M177" s="205">
        <v>780353.93</v>
      </c>
      <c r="N177" s="476">
        <f t="shared" si="3"/>
        <v>780353.93</v>
      </c>
    </row>
    <row r="178" spans="1:14" ht="67.5" customHeight="1">
      <c r="A178" s="71" t="s">
        <v>1164</v>
      </c>
      <c r="B178" s="22" t="s">
        <v>132</v>
      </c>
      <c r="C178" s="22" t="s">
        <v>239</v>
      </c>
      <c r="D178" s="22" t="s">
        <v>231</v>
      </c>
      <c r="E178" s="22" t="s">
        <v>60</v>
      </c>
      <c r="F178" s="22" t="s">
        <v>70</v>
      </c>
      <c r="G178" s="141" t="s">
        <v>1154</v>
      </c>
      <c r="H178" s="22" t="s">
        <v>110</v>
      </c>
      <c r="I178" s="87"/>
      <c r="J178" s="170"/>
      <c r="K178" s="250">
        <v>100000</v>
      </c>
      <c r="L178" s="213"/>
      <c r="M178" s="250">
        <v>100000</v>
      </c>
      <c r="N178" s="476">
        <f t="shared" si="3"/>
        <v>100000</v>
      </c>
    </row>
    <row r="179" spans="1:14" ht="100.5" customHeight="1">
      <c r="A179" s="71" t="s">
        <v>1165</v>
      </c>
      <c r="B179" s="22" t="s">
        <v>132</v>
      </c>
      <c r="C179" s="22" t="s">
        <v>239</v>
      </c>
      <c r="D179" s="22" t="s">
        <v>231</v>
      </c>
      <c r="E179" s="22" t="s">
        <v>60</v>
      </c>
      <c r="F179" s="22" t="s">
        <v>70</v>
      </c>
      <c r="G179" s="141" t="s">
        <v>1155</v>
      </c>
      <c r="H179" s="22" t="s">
        <v>110</v>
      </c>
      <c r="I179" s="87"/>
      <c r="J179" s="173"/>
      <c r="K179" s="250">
        <v>57807</v>
      </c>
      <c r="L179" s="213"/>
      <c r="M179" s="250">
        <v>57807</v>
      </c>
      <c r="N179" s="476">
        <f t="shared" si="3"/>
        <v>57807</v>
      </c>
    </row>
    <row r="180" spans="1:14" ht="67.5" customHeight="1">
      <c r="A180" s="71" t="s">
        <v>1205</v>
      </c>
      <c r="B180" s="22" t="s">
        <v>132</v>
      </c>
      <c r="C180" s="22" t="s">
        <v>239</v>
      </c>
      <c r="D180" s="22" t="s">
        <v>231</v>
      </c>
      <c r="E180" s="22" t="s">
        <v>60</v>
      </c>
      <c r="F180" s="22" t="s">
        <v>70</v>
      </c>
      <c r="G180" s="141" t="s">
        <v>1187</v>
      </c>
      <c r="H180" s="22" t="s">
        <v>110</v>
      </c>
      <c r="I180" s="87"/>
      <c r="J180" s="173"/>
      <c r="K180" s="250"/>
      <c r="L180" s="213"/>
      <c r="M180" s="250"/>
      <c r="N180" s="476">
        <f t="shared" si="3"/>
        <v>0</v>
      </c>
    </row>
    <row r="181" spans="1:14" ht="99" customHeight="1">
      <c r="A181" s="71" t="s">
        <v>708</v>
      </c>
      <c r="B181" s="22" t="s">
        <v>132</v>
      </c>
      <c r="C181" s="22" t="s">
        <v>239</v>
      </c>
      <c r="D181" s="22" t="s">
        <v>231</v>
      </c>
      <c r="E181" s="22" t="s">
        <v>60</v>
      </c>
      <c r="F181" s="22" t="s">
        <v>70</v>
      </c>
      <c r="G181" s="141" t="s">
        <v>724</v>
      </c>
      <c r="H181" s="22" t="s">
        <v>110</v>
      </c>
      <c r="I181" s="87"/>
      <c r="J181" s="173"/>
      <c r="K181" s="250"/>
      <c r="L181" s="213"/>
      <c r="M181" s="250"/>
      <c r="N181" s="476">
        <f t="shared" si="3"/>
        <v>0</v>
      </c>
    </row>
    <row r="182" spans="1:14" ht="94.5">
      <c r="A182" s="71" t="s">
        <v>709</v>
      </c>
      <c r="B182" s="22" t="s">
        <v>132</v>
      </c>
      <c r="C182" s="22" t="s">
        <v>239</v>
      </c>
      <c r="D182" s="22" t="s">
        <v>231</v>
      </c>
      <c r="E182" s="22" t="s">
        <v>60</v>
      </c>
      <c r="F182" s="22" t="s">
        <v>70</v>
      </c>
      <c r="G182" s="141" t="s">
        <v>725</v>
      </c>
      <c r="H182" s="22" t="s">
        <v>110</v>
      </c>
      <c r="I182" s="87"/>
      <c r="J182" s="170"/>
      <c r="K182" s="250">
        <v>6974286.92</v>
      </c>
      <c r="L182" s="213"/>
      <c r="M182" s="250">
        <v>6974286.92</v>
      </c>
      <c r="N182" s="476">
        <f t="shared" si="3"/>
        <v>6974286.92</v>
      </c>
    </row>
    <row r="183" spans="1:14" ht="132.75" customHeight="1">
      <c r="A183" s="71" t="s">
        <v>1485</v>
      </c>
      <c r="B183" s="22" t="s">
        <v>132</v>
      </c>
      <c r="C183" s="22" t="s">
        <v>239</v>
      </c>
      <c r="D183" s="22" t="s">
        <v>231</v>
      </c>
      <c r="E183" s="22" t="s">
        <v>60</v>
      </c>
      <c r="F183" s="22" t="s">
        <v>1489</v>
      </c>
      <c r="G183" s="141" t="s">
        <v>1490</v>
      </c>
      <c r="H183" s="22" t="s">
        <v>110</v>
      </c>
      <c r="I183" s="87"/>
      <c r="J183" s="170">
        <v>2256684.2</v>
      </c>
      <c r="K183" s="170">
        <v>2256684.2</v>
      </c>
      <c r="L183" s="213"/>
      <c r="M183" s="250"/>
      <c r="N183" s="476"/>
    </row>
    <row r="184" spans="1:14" s="194" customFormat="1" ht="80.25" customHeight="1">
      <c r="A184" s="237" t="s">
        <v>573</v>
      </c>
      <c r="B184" s="141" t="s">
        <v>132</v>
      </c>
      <c r="C184" s="141" t="s">
        <v>239</v>
      </c>
      <c r="D184" s="141" t="s">
        <v>231</v>
      </c>
      <c r="E184" s="141" t="s">
        <v>60</v>
      </c>
      <c r="F184" s="141" t="s">
        <v>70</v>
      </c>
      <c r="G184" s="141" t="s">
        <v>576</v>
      </c>
      <c r="H184" s="141" t="s">
        <v>110</v>
      </c>
      <c r="I184" s="172"/>
      <c r="J184" s="260">
        <v>-9657.74</v>
      </c>
      <c r="K184" s="250">
        <v>1734542.26</v>
      </c>
      <c r="L184" s="225"/>
      <c r="M184" s="250">
        <v>1744200</v>
      </c>
      <c r="N184" s="500">
        <f t="shared" si="3"/>
        <v>1734542.26</v>
      </c>
    </row>
    <row r="185" spans="1:14" s="504" customFormat="1" ht="72.75" customHeight="1">
      <c r="A185" s="71" t="s">
        <v>1501</v>
      </c>
      <c r="B185" s="23" t="s">
        <v>132</v>
      </c>
      <c r="C185" s="23" t="s">
        <v>239</v>
      </c>
      <c r="D185" s="23" t="s">
        <v>231</v>
      </c>
      <c r="E185" s="23" t="s">
        <v>60</v>
      </c>
      <c r="F185" s="23" t="s">
        <v>70</v>
      </c>
      <c r="G185" s="141" t="s">
        <v>1488</v>
      </c>
      <c r="H185" s="23" t="s">
        <v>110</v>
      </c>
      <c r="I185" s="88"/>
      <c r="J185" s="170">
        <v>965773.74</v>
      </c>
      <c r="K185" s="170">
        <v>965773.74</v>
      </c>
      <c r="L185" s="501"/>
      <c r="M185" s="502"/>
      <c r="N185" s="503"/>
    </row>
    <row r="186" spans="1:14" ht="93.75" customHeight="1">
      <c r="A186" s="71" t="s">
        <v>700</v>
      </c>
      <c r="B186" s="23" t="s">
        <v>132</v>
      </c>
      <c r="C186" s="23" t="s">
        <v>239</v>
      </c>
      <c r="D186" s="23">
        <v>11</v>
      </c>
      <c r="E186" s="23" t="s">
        <v>69</v>
      </c>
      <c r="F186" s="23" t="s">
        <v>70</v>
      </c>
      <c r="G186" s="141" t="s">
        <v>530</v>
      </c>
      <c r="H186" s="23" t="s">
        <v>110</v>
      </c>
      <c r="I186" s="88"/>
      <c r="J186" s="170"/>
      <c r="K186" s="250">
        <v>350000</v>
      </c>
      <c r="L186" s="213"/>
      <c r="M186" s="250">
        <v>350000</v>
      </c>
      <c r="N186" s="476">
        <f t="shared" si="3"/>
        <v>350000</v>
      </c>
    </row>
    <row r="187" spans="1:14" ht="98.25" customHeight="1">
      <c r="A187" s="239" t="s">
        <v>1001</v>
      </c>
      <c r="B187" s="22" t="s">
        <v>132</v>
      </c>
      <c r="C187" s="22" t="s">
        <v>239</v>
      </c>
      <c r="D187" s="22" t="s">
        <v>231</v>
      </c>
      <c r="E187" s="22" t="s">
        <v>60</v>
      </c>
      <c r="F187" s="22" t="s">
        <v>70</v>
      </c>
      <c r="G187" s="141" t="s">
        <v>1002</v>
      </c>
      <c r="H187" s="22" t="s">
        <v>110</v>
      </c>
      <c r="I187" s="87"/>
      <c r="J187" s="173"/>
      <c r="K187" s="250"/>
      <c r="L187" s="213"/>
      <c r="M187" s="250"/>
      <c r="N187" s="476">
        <f t="shared" si="3"/>
        <v>0</v>
      </c>
    </row>
    <row r="188" spans="1:14" ht="15.75">
      <c r="A188" s="499" t="s">
        <v>296</v>
      </c>
      <c r="B188" s="21" t="s">
        <v>132</v>
      </c>
      <c r="C188" s="21" t="s">
        <v>239</v>
      </c>
      <c r="D188" s="21"/>
      <c r="E188" s="21"/>
      <c r="F188" s="21"/>
      <c r="G188" s="21"/>
      <c r="H188" s="21"/>
      <c r="I188" s="73">
        <f>SUM(I189:I193)</f>
        <v>-745</v>
      </c>
      <c r="J188" s="473">
        <f>SUM(J189:J195)</f>
        <v>211144.7</v>
      </c>
      <c r="K188" s="73">
        <f>SUM(K189:K195)</f>
        <v>19773844.950000003</v>
      </c>
      <c r="L188" s="73">
        <f>SUM(L189:L195)</f>
        <v>2027057.76</v>
      </c>
      <c r="M188" s="73">
        <f>SUM(M189:M195)</f>
        <v>19562700.25</v>
      </c>
      <c r="N188" s="476">
        <f t="shared" si="3"/>
        <v>19773844.95</v>
      </c>
    </row>
    <row r="189" spans="1:14" ht="101.25" customHeight="1">
      <c r="A189" s="65" t="s">
        <v>531</v>
      </c>
      <c r="B189" s="23" t="s">
        <v>132</v>
      </c>
      <c r="C189" s="23" t="s">
        <v>239</v>
      </c>
      <c r="D189" s="23" t="s">
        <v>231</v>
      </c>
      <c r="E189" s="23" t="s">
        <v>60</v>
      </c>
      <c r="F189" s="23" t="s">
        <v>70</v>
      </c>
      <c r="G189" s="141" t="s">
        <v>532</v>
      </c>
      <c r="H189" s="23" t="s">
        <v>164</v>
      </c>
      <c r="I189" s="88"/>
      <c r="J189" s="170">
        <v>19920</v>
      </c>
      <c r="K189" s="250">
        <v>7629675.6</v>
      </c>
      <c r="L189" s="213">
        <v>2027057.76</v>
      </c>
      <c r="M189" s="250">
        <f>5582697.84+2027057.76</f>
        <v>7609755.6</v>
      </c>
      <c r="N189" s="476">
        <f t="shared" si="3"/>
        <v>7629675.6</v>
      </c>
    </row>
    <row r="190" spans="1:14" ht="51" customHeight="1">
      <c r="A190" s="65" t="s">
        <v>605</v>
      </c>
      <c r="B190" s="23" t="s">
        <v>132</v>
      </c>
      <c r="C190" s="23" t="s">
        <v>239</v>
      </c>
      <c r="D190" s="23" t="s">
        <v>231</v>
      </c>
      <c r="E190" s="23" t="s">
        <v>60</v>
      </c>
      <c r="F190" s="23" t="s">
        <v>70</v>
      </c>
      <c r="G190" s="141" t="s">
        <v>532</v>
      </c>
      <c r="H190" s="23" t="s">
        <v>165</v>
      </c>
      <c r="I190" s="88">
        <v>-745</v>
      </c>
      <c r="J190" s="170"/>
      <c r="K190" s="250">
        <v>9971008.73</v>
      </c>
      <c r="L190" s="213"/>
      <c r="M190" s="250">
        <v>9971008.73</v>
      </c>
      <c r="N190" s="476">
        <f t="shared" si="3"/>
        <v>9971008.73</v>
      </c>
    </row>
    <row r="191" spans="1:14" ht="37.5" customHeight="1">
      <c r="A191" s="65" t="s">
        <v>447</v>
      </c>
      <c r="B191" s="23" t="s">
        <v>132</v>
      </c>
      <c r="C191" s="23" t="s">
        <v>239</v>
      </c>
      <c r="D191" s="23" t="s">
        <v>231</v>
      </c>
      <c r="E191" s="23" t="s">
        <v>60</v>
      </c>
      <c r="F191" s="23" t="s">
        <v>70</v>
      </c>
      <c r="G191" s="141" t="s">
        <v>532</v>
      </c>
      <c r="H191" s="23" t="s">
        <v>166</v>
      </c>
      <c r="I191" s="88"/>
      <c r="J191" s="170"/>
      <c r="K191" s="250">
        <v>202935.92</v>
      </c>
      <c r="L191" s="213"/>
      <c r="M191" s="250">
        <v>202935.92</v>
      </c>
      <c r="N191" s="476">
        <f t="shared" si="3"/>
        <v>202935.92</v>
      </c>
    </row>
    <row r="192" spans="1:14" s="504" customFormat="1" ht="72" customHeight="1">
      <c r="A192" s="71" t="s">
        <v>1502</v>
      </c>
      <c r="B192" s="23" t="s">
        <v>132</v>
      </c>
      <c r="C192" s="23" t="s">
        <v>239</v>
      </c>
      <c r="D192" s="23" t="s">
        <v>231</v>
      </c>
      <c r="E192" s="23" t="s">
        <v>60</v>
      </c>
      <c r="F192" s="23" t="s">
        <v>70</v>
      </c>
      <c r="G192" s="141" t="s">
        <v>1488</v>
      </c>
      <c r="H192" s="23" t="s">
        <v>165</v>
      </c>
      <c r="I192" s="88"/>
      <c r="J192" s="170">
        <v>193156.26</v>
      </c>
      <c r="K192" s="170">
        <v>193156.26</v>
      </c>
      <c r="L192" s="501"/>
      <c r="M192" s="502"/>
      <c r="N192" s="503"/>
    </row>
    <row r="193" spans="1:14" ht="63">
      <c r="A193" s="162" t="s">
        <v>606</v>
      </c>
      <c r="B193" s="23" t="s">
        <v>132</v>
      </c>
      <c r="C193" s="23" t="s">
        <v>239</v>
      </c>
      <c r="D193" s="23" t="s">
        <v>231</v>
      </c>
      <c r="E193" s="23" t="s">
        <v>60</v>
      </c>
      <c r="F193" s="23" t="s">
        <v>70</v>
      </c>
      <c r="G193" s="141" t="s">
        <v>577</v>
      </c>
      <c r="H193" s="23" t="s">
        <v>165</v>
      </c>
      <c r="I193" s="88"/>
      <c r="J193" s="170">
        <v>-1931.56</v>
      </c>
      <c r="K193" s="250">
        <v>321068.44</v>
      </c>
      <c r="L193" s="213"/>
      <c r="M193" s="250">
        <v>323000</v>
      </c>
      <c r="N193" s="476">
        <f t="shared" si="3"/>
        <v>321068.44</v>
      </c>
    </row>
    <row r="194" spans="1:14" ht="115.5" customHeight="1">
      <c r="A194" s="71" t="s">
        <v>747</v>
      </c>
      <c r="B194" s="23" t="s">
        <v>132</v>
      </c>
      <c r="C194" s="23" t="s">
        <v>239</v>
      </c>
      <c r="D194" s="23">
        <v>11</v>
      </c>
      <c r="E194" s="23" t="s">
        <v>69</v>
      </c>
      <c r="F194" s="23" t="s">
        <v>70</v>
      </c>
      <c r="G194" s="141" t="s">
        <v>701</v>
      </c>
      <c r="H194" s="23" t="s">
        <v>164</v>
      </c>
      <c r="I194" s="88"/>
      <c r="J194" s="170"/>
      <c r="K194" s="143">
        <v>56000</v>
      </c>
      <c r="L194" s="213"/>
      <c r="M194" s="143">
        <v>56000</v>
      </c>
      <c r="N194" s="476">
        <f t="shared" si="3"/>
        <v>56000</v>
      </c>
    </row>
    <row r="195" spans="1:14" ht="65.25" customHeight="1">
      <c r="A195" s="71" t="s">
        <v>607</v>
      </c>
      <c r="B195" s="23" t="s">
        <v>132</v>
      </c>
      <c r="C195" s="23" t="s">
        <v>239</v>
      </c>
      <c r="D195" s="23" t="s">
        <v>231</v>
      </c>
      <c r="E195" s="23" t="s">
        <v>60</v>
      </c>
      <c r="F195" s="23" t="s">
        <v>70</v>
      </c>
      <c r="G195" s="141" t="s">
        <v>533</v>
      </c>
      <c r="H195" s="23" t="s">
        <v>165</v>
      </c>
      <c r="I195" s="88">
        <v>745</v>
      </c>
      <c r="J195" s="170"/>
      <c r="K195" s="250">
        <v>1400000</v>
      </c>
      <c r="L195" s="213"/>
      <c r="M195" s="250">
        <v>1400000</v>
      </c>
      <c r="N195" s="476">
        <f t="shared" si="3"/>
        <v>1400000</v>
      </c>
    </row>
    <row r="196" spans="1:14" ht="97.5" customHeight="1">
      <c r="A196" s="65" t="s">
        <v>731</v>
      </c>
      <c r="B196" s="23" t="s">
        <v>132</v>
      </c>
      <c r="C196" s="23" t="s">
        <v>239</v>
      </c>
      <c r="D196" s="23" t="s">
        <v>231</v>
      </c>
      <c r="E196" s="23" t="s">
        <v>60</v>
      </c>
      <c r="F196" s="23" t="s">
        <v>70</v>
      </c>
      <c r="G196" s="141" t="s">
        <v>534</v>
      </c>
      <c r="H196" s="23" t="s">
        <v>165</v>
      </c>
      <c r="I196" s="88"/>
      <c r="J196" s="170"/>
      <c r="K196" s="250">
        <v>36345</v>
      </c>
      <c r="L196" s="213"/>
      <c r="M196" s="250">
        <v>36345</v>
      </c>
      <c r="N196" s="476">
        <f t="shared" si="3"/>
        <v>36345</v>
      </c>
    </row>
    <row r="197" spans="1:14" ht="247.5" customHeight="1">
      <c r="A197" s="71" t="s">
        <v>732</v>
      </c>
      <c r="B197" s="23" t="s">
        <v>132</v>
      </c>
      <c r="C197" s="23" t="s">
        <v>239</v>
      </c>
      <c r="D197" s="23" t="s">
        <v>231</v>
      </c>
      <c r="E197" s="23" t="s">
        <v>60</v>
      </c>
      <c r="F197" s="23" t="s">
        <v>70</v>
      </c>
      <c r="G197" s="141" t="s">
        <v>535</v>
      </c>
      <c r="H197" s="23" t="s">
        <v>164</v>
      </c>
      <c r="I197" s="88"/>
      <c r="J197" s="170">
        <v>123181.25</v>
      </c>
      <c r="K197" s="205">
        <v>14601095.5</v>
      </c>
      <c r="L197" s="213"/>
      <c r="M197" s="205">
        <v>14477914.25</v>
      </c>
      <c r="N197" s="476">
        <f t="shared" si="3"/>
        <v>14601095.5</v>
      </c>
    </row>
    <row r="198" spans="1:14" ht="92.25" customHeight="1">
      <c r="A198" s="71" t="s">
        <v>733</v>
      </c>
      <c r="B198" s="23" t="s">
        <v>132</v>
      </c>
      <c r="C198" s="23" t="s">
        <v>239</v>
      </c>
      <c r="D198" s="23" t="s">
        <v>231</v>
      </c>
      <c r="E198" s="23" t="s">
        <v>60</v>
      </c>
      <c r="F198" s="23" t="s">
        <v>70</v>
      </c>
      <c r="G198" s="141" t="s">
        <v>535</v>
      </c>
      <c r="H198" s="23" t="s">
        <v>165</v>
      </c>
      <c r="I198" s="88"/>
      <c r="J198" s="170">
        <v>100</v>
      </c>
      <c r="K198" s="205">
        <v>209937</v>
      </c>
      <c r="L198" s="213"/>
      <c r="M198" s="205">
        <v>209837</v>
      </c>
      <c r="N198" s="476">
        <f t="shared" si="3"/>
        <v>209937</v>
      </c>
    </row>
    <row r="199" spans="1:14" ht="92.25" customHeight="1">
      <c r="A199" s="71" t="s">
        <v>734</v>
      </c>
      <c r="B199" s="23" t="s">
        <v>132</v>
      </c>
      <c r="C199" s="23" t="s">
        <v>239</v>
      </c>
      <c r="D199" s="23" t="s">
        <v>231</v>
      </c>
      <c r="E199" s="23" t="s">
        <v>60</v>
      </c>
      <c r="F199" s="23" t="s">
        <v>70</v>
      </c>
      <c r="G199" s="141" t="s">
        <v>535</v>
      </c>
      <c r="H199" s="23" t="s">
        <v>110</v>
      </c>
      <c r="I199" s="88"/>
      <c r="J199" s="170">
        <v>422892.75</v>
      </c>
      <c r="K199" s="205">
        <v>58758703</v>
      </c>
      <c r="L199" s="213"/>
      <c r="M199" s="205">
        <v>58335810.25</v>
      </c>
      <c r="N199" s="476">
        <f t="shared" si="3"/>
        <v>58758703</v>
      </c>
    </row>
    <row r="200" spans="1:14" ht="78.75">
      <c r="A200" s="71" t="s">
        <v>1211</v>
      </c>
      <c r="B200" s="23" t="s">
        <v>132</v>
      </c>
      <c r="C200" s="23" t="s">
        <v>239</v>
      </c>
      <c r="D200" s="23" t="s">
        <v>529</v>
      </c>
      <c r="E200" s="23" t="s">
        <v>119</v>
      </c>
      <c r="F200" s="23" t="s">
        <v>1247</v>
      </c>
      <c r="G200" s="141" t="s">
        <v>1248</v>
      </c>
      <c r="H200" s="23" t="s">
        <v>165</v>
      </c>
      <c r="I200" s="88"/>
      <c r="J200" s="170"/>
      <c r="K200" s="250"/>
      <c r="L200" s="213"/>
      <c r="M200" s="250"/>
      <c r="N200" s="476">
        <f t="shared" si="3"/>
        <v>0</v>
      </c>
    </row>
    <row r="201" spans="1:14" ht="82.5" customHeight="1">
      <c r="A201" s="65" t="s">
        <v>1223</v>
      </c>
      <c r="B201" s="23" t="s">
        <v>132</v>
      </c>
      <c r="C201" s="23" t="s">
        <v>239</v>
      </c>
      <c r="D201" s="23" t="s">
        <v>529</v>
      </c>
      <c r="E201" s="23" t="s">
        <v>119</v>
      </c>
      <c r="F201" s="23" t="s">
        <v>500</v>
      </c>
      <c r="G201" s="141" t="s">
        <v>1222</v>
      </c>
      <c r="H201" s="23" t="s">
        <v>165</v>
      </c>
      <c r="I201" s="88"/>
      <c r="J201" s="170"/>
      <c r="K201" s="250"/>
      <c r="L201" s="213"/>
      <c r="M201" s="250"/>
      <c r="N201" s="476">
        <f aca="true" t="shared" si="4" ref="N201:N258">M201+J201</f>
        <v>0</v>
      </c>
    </row>
    <row r="202" spans="1:14" ht="97.5" customHeight="1">
      <c r="A202" s="495" t="s">
        <v>1500</v>
      </c>
      <c r="B202" s="23" t="s">
        <v>132</v>
      </c>
      <c r="C202" s="23" t="s">
        <v>239</v>
      </c>
      <c r="D202" s="23" t="s">
        <v>529</v>
      </c>
      <c r="E202" s="23" t="s">
        <v>119</v>
      </c>
      <c r="F202" s="23" t="s">
        <v>500</v>
      </c>
      <c r="G202" s="141" t="s">
        <v>1491</v>
      </c>
      <c r="H202" s="23" t="s">
        <v>110</v>
      </c>
      <c r="I202" s="88"/>
      <c r="J202" s="170">
        <v>300000</v>
      </c>
      <c r="K202" s="250">
        <v>300000</v>
      </c>
      <c r="L202" s="213"/>
      <c r="M202" s="250"/>
      <c r="N202" s="476"/>
    </row>
    <row r="203" spans="1:14" ht="213" customHeight="1">
      <c r="A203" s="71" t="s">
        <v>480</v>
      </c>
      <c r="B203" s="23" t="s">
        <v>132</v>
      </c>
      <c r="C203" s="23" t="s">
        <v>239</v>
      </c>
      <c r="D203" s="23" t="s">
        <v>163</v>
      </c>
      <c r="E203" s="23" t="s">
        <v>119</v>
      </c>
      <c r="F203" s="23" t="s">
        <v>500</v>
      </c>
      <c r="G203" s="141" t="s">
        <v>536</v>
      </c>
      <c r="H203" s="23" t="s">
        <v>110</v>
      </c>
      <c r="I203" s="88"/>
      <c r="J203" s="170">
        <v>43540.25</v>
      </c>
      <c r="K203" s="250">
        <v>6044183</v>
      </c>
      <c r="L203" s="213"/>
      <c r="M203" s="250">
        <v>6000642.75</v>
      </c>
      <c r="N203" s="476">
        <f t="shared" si="4"/>
        <v>6044183</v>
      </c>
    </row>
    <row r="204" spans="1:14" ht="16.5" customHeight="1">
      <c r="A204" s="160" t="s">
        <v>728</v>
      </c>
      <c r="B204" s="24" t="s">
        <v>132</v>
      </c>
      <c r="C204" s="24" t="s">
        <v>727</v>
      </c>
      <c r="D204" s="24"/>
      <c r="E204" s="24"/>
      <c r="F204" s="24"/>
      <c r="G204" s="24"/>
      <c r="H204" s="24"/>
      <c r="I204" s="89" t="e">
        <f>I205+#REF!+I207</f>
        <v>#REF!</v>
      </c>
      <c r="J204" s="469">
        <f>SUM(J205:J212)</f>
        <v>0</v>
      </c>
      <c r="K204" s="100">
        <f>SUM(K205:K212)</f>
        <v>6064891.319999999</v>
      </c>
      <c r="L204" s="100">
        <f>SUM(L205:L212)</f>
        <v>401435.24</v>
      </c>
      <c r="M204" s="100">
        <f>SUM(M205:M212)</f>
        <v>6064891.319999999</v>
      </c>
      <c r="N204" s="476">
        <f t="shared" si="4"/>
        <v>6064891.319999999</v>
      </c>
    </row>
    <row r="205" spans="1:14" ht="77.25" customHeight="1">
      <c r="A205" s="71" t="s">
        <v>537</v>
      </c>
      <c r="B205" s="23" t="s">
        <v>132</v>
      </c>
      <c r="C205" s="23" t="s">
        <v>727</v>
      </c>
      <c r="D205" s="23" t="s">
        <v>231</v>
      </c>
      <c r="E205" s="23" t="s">
        <v>233</v>
      </c>
      <c r="F205" s="23" t="s">
        <v>70</v>
      </c>
      <c r="G205" s="141" t="s">
        <v>538</v>
      </c>
      <c r="H205" s="23" t="s">
        <v>110</v>
      </c>
      <c r="I205" s="88"/>
      <c r="J205" s="170"/>
      <c r="K205" s="205">
        <v>5300230.89</v>
      </c>
      <c r="L205" s="213">
        <v>401435.24</v>
      </c>
      <c r="M205" s="205">
        <v>5300230.89</v>
      </c>
      <c r="N205" s="476">
        <f t="shared" si="4"/>
        <v>5300230.89</v>
      </c>
    </row>
    <row r="206" spans="1:14" ht="97.5" customHeight="1">
      <c r="A206" s="71" t="s">
        <v>871</v>
      </c>
      <c r="B206" s="23" t="s">
        <v>132</v>
      </c>
      <c r="C206" s="23" t="s">
        <v>727</v>
      </c>
      <c r="D206" s="23" t="s">
        <v>231</v>
      </c>
      <c r="E206" s="23" t="s">
        <v>233</v>
      </c>
      <c r="F206" s="23" t="s">
        <v>70</v>
      </c>
      <c r="G206" s="141" t="s">
        <v>873</v>
      </c>
      <c r="H206" s="23" t="s">
        <v>110</v>
      </c>
      <c r="I206" s="88"/>
      <c r="J206" s="170"/>
      <c r="K206" s="205">
        <v>6264.6</v>
      </c>
      <c r="L206" s="213"/>
      <c r="M206" s="205">
        <v>6264.6</v>
      </c>
      <c r="N206" s="476">
        <f t="shared" si="4"/>
        <v>6264.6</v>
      </c>
    </row>
    <row r="207" spans="1:14" ht="110.25">
      <c r="A207" s="71" t="s">
        <v>726</v>
      </c>
      <c r="B207" s="23" t="s">
        <v>132</v>
      </c>
      <c r="C207" s="23" t="s">
        <v>727</v>
      </c>
      <c r="D207" s="23" t="s">
        <v>231</v>
      </c>
      <c r="E207" s="23" t="s">
        <v>233</v>
      </c>
      <c r="F207" s="23" t="s">
        <v>70</v>
      </c>
      <c r="G207" s="141" t="s">
        <v>539</v>
      </c>
      <c r="H207" s="23" t="s">
        <v>110</v>
      </c>
      <c r="I207" s="88"/>
      <c r="J207" s="170"/>
      <c r="K207" s="250">
        <v>620195.83</v>
      </c>
      <c r="L207" s="213"/>
      <c r="M207" s="250">
        <v>620195.83</v>
      </c>
      <c r="N207" s="476">
        <f t="shared" si="4"/>
        <v>620195.83</v>
      </c>
    </row>
    <row r="208" spans="1:14" ht="78" customHeight="1">
      <c r="A208" s="71" t="s">
        <v>1180</v>
      </c>
      <c r="B208" s="23" t="s">
        <v>132</v>
      </c>
      <c r="C208" s="23" t="s">
        <v>727</v>
      </c>
      <c r="D208" s="23" t="s">
        <v>231</v>
      </c>
      <c r="E208" s="23" t="s">
        <v>233</v>
      </c>
      <c r="F208" s="23" t="s">
        <v>70</v>
      </c>
      <c r="G208" s="141" t="s">
        <v>1181</v>
      </c>
      <c r="H208" s="23" t="s">
        <v>110</v>
      </c>
      <c r="I208" s="88"/>
      <c r="J208" s="170"/>
      <c r="K208" s="250"/>
      <c r="L208" s="213"/>
      <c r="M208" s="250"/>
      <c r="N208" s="476">
        <f t="shared" si="4"/>
        <v>0</v>
      </c>
    </row>
    <row r="209" spans="1:14" ht="77.25" customHeight="1">
      <c r="A209" s="169" t="s">
        <v>1206</v>
      </c>
      <c r="B209" s="23" t="s">
        <v>132</v>
      </c>
      <c r="C209" s="23" t="s">
        <v>727</v>
      </c>
      <c r="D209" s="23" t="s">
        <v>231</v>
      </c>
      <c r="E209" s="23" t="s">
        <v>233</v>
      </c>
      <c r="F209" s="23" t="s">
        <v>70</v>
      </c>
      <c r="G209" s="141" t="s">
        <v>1191</v>
      </c>
      <c r="H209" s="23" t="s">
        <v>110</v>
      </c>
      <c r="I209" s="88"/>
      <c r="J209" s="170"/>
      <c r="K209" s="250"/>
      <c r="L209" s="213"/>
      <c r="M209" s="250"/>
      <c r="N209" s="476">
        <f t="shared" si="4"/>
        <v>0</v>
      </c>
    </row>
    <row r="210" spans="1:14" ht="98.25" customHeight="1">
      <c r="A210" s="169" t="s">
        <v>1207</v>
      </c>
      <c r="B210" s="23" t="s">
        <v>132</v>
      </c>
      <c r="C210" s="23" t="s">
        <v>727</v>
      </c>
      <c r="D210" s="23" t="s">
        <v>231</v>
      </c>
      <c r="E210" s="23" t="s">
        <v>233</v>
      </c>
      <c r="F210" s="23" t="s">
        <v>70</v>
      </c>
      <c r="G210" s="141" t="s">
        <v>1192</v>
      </c>
      <c r="H210" s="23" t="s">
        <v>110</v>
      </c>
      <c r="I210" s="88"/>
      <c r="J210" s="170"/>
      <c r="K210" s="250"/>
      <c r="L210" s="213"/>
      <c r="M210" s="250"/>
      <c r="N210" s="476">
        <f t="shared" si="4"/>
        <v>0</v>
      </c>
    </row>
    <row r="211" spans="1:14" ht="48" customHeight="1">
      <c r="A211" s="169" t="s">
        <v>1454</v>
      </c>
      <c r="B211" s="261">
        <v>909</v>
      </c>
      <c r="C211" s="262" t="s">
        <v>727</v>
      </c>
      <c r="D211" s="262" t="s">
        <v>231</v>
      </c>
      <c r="E211" s="262" t="s">
        <v>233</v>
      </c>
      <c r="F211" s="262" t="s">
        <v>70</v>
      </c>
      <c r="G211" s="262" t="s">
        <v>1338</v>
      </c>
      <c r="H211" s="262" t="s">
        <v>110</v>
      </c>
      <c r="I211" s="224"/>
      <c r="J211" s="260"/>
      <c r="K211" s="265">
        <v>138200</v>
      </c>
      <c r="L211" s="213"/>
      <c r="M211" s="265">
        <v>138200</v>
      </c>
      <c r="N211" s="476">
        <f t="shared" si="4"/>
        <v>138200</v>
      </c>
    </row>
    <row r="212" spans="1:14" ht="65.25" customHeight="1">
      <c r="A212" s="169" t="s">
        <v>1208</v>
      </c>
      <c r="B212" s="23" t="s">
        <v>132</v>
      </c>
      <c r="C212" s="23" t="s">
        <v>727</v>
      </c>
      <c r="D212" s="23" t="s">
        <v>231</v>
      </c>
      <c r="E212" s="23" t="s">
        <v>233</v>
      </c>
      <c r="F212" s="23" t="s">
        <v>70</v>
      </c>
      <c r="G212" s="141" t="s">
        <v>1193</v>
      </c>
      <c r="H212" s="23" t="s">
        <v>110</v>
      </c>
      <c r="I212" s="88"/>
      <c r="J212" s="260"/>
      <c r="K212" s="250"/>
      <c r="L212" s="213"/>
      <c r="M212" s="250"/>
      <c r="N212" s="476">
        <f t="shared" si="4"/>
        <v>0</v>
      </c>
    </row>
    <row r="213" spans="1:14" ht="15.75">
      <c r="A213" s="258" t="s">
        <v>140</v>
      </c>
      <c r="B213" s="24" t="s">
        <v>132</v>
      </c>
      <c r="C213" s="24" t="s">
        <v>141</v>
      </c>
      <c r="D213" s="24"/>
      <c r="E213" s="24"/>
      <c r="F213" s="24"/>
      <c r="G213" s="24"/>
      <c r="H213" s="24"/>
      <c r="I213" s="25">
        <f>SUM(I214:I218)</f>
        <v>0</v>
      </c>
      <c r="J213" s="293">
        <f>SUM(J214:J218)</f>
        <v>51848</v>
      </c>
      <c r="K213" s="25">
        <f>SUM(K214:K218)</f>
        <v>579348</v>
      </c>
      <c r="L213" s="213"/>
      <c r="M213" s="25">
        <f>SUM(M214:M218)</f>
        <v>527500</v>
      </c>
      <c r="N213" s="476">
        <f t="shared" si="4"/>
        <v>579348</v>
      </c>
    </row>
    <row r="214" spans="1:14" ht="63" customHeight="1">
      <c r="A214" s="71" t="s">
        <v>609</v>
      </c>
      <c r="B214" s="69">
        <v>909</v>
      </c>
      <c r="C214" s="70" t="s">
        <v>141</v>
      </c>
      <c r="D214" s="70">
        <v>11</v>
      </c>
      <c r="E214" s="70" t="s">
        <v>69</v>
      </c>
      <c r="F214" s="70" t="s">
        <v>70</v>
      </c>
      <c r="G214" s="262" t="s">
        <v>748</v>
      </c>
      <c r="H214" s="70" t="s">
        <v>165</v>
      </c>
      <c r="I214" s="93"/>
      <c r="J214" s="170">
        <v>5648</v>
      </c>
      <c r="K214" s="265">
        <v>71148</v>
      </c>
      <c r="L214" s="213"/>
      <c r="M214" s="291">
        <v>65500</v>
      </c>
      <c r="N214" s="476">
        <f t="shared" si="4"/>
        <v>71148</v>
      </c>
    </row>
    <row r="215" spans="1:14" ht="78.75" customHeight="1">
      <c r="A215" s="71" t="s">
        <v>1018</v>
      </c>
      <c r="B215" s="69">
        <v>909</v>
      </c>
      <c r="C215" s="70" t="s">
        <v>141</v>
      </c>
      <c r="D215" s="70">
        <v>11</v>
      </c>
      <c r="E215" s="70" t="s">
        <v>69</v>
      </c>
      <c r="F215" s="70" t="s">
        <v>70</v>
      </c>
      <c r="G215" s="262" t="s">
        <v>748</v>
      </c>
      <c r="H215" s="70" t="s">
        <v>110</v>
      </c>
      <c r="I215" s="93"/>
      <c r="J215" s="170"/>
      <c r="K215" s="250"/>
      <c r="L215" s="213"/>
      <c r="M215" s="250"/>
      <c r="N215" s="476">
        <f t="shared" si="4"/>
        <v>0</v>
      </c>
    </row>
    <row r="216" spans="1:14" ht="78.75">
      <c r="A216" s="71" t="s">
        <v>772</v>
      </c>
      <c r="B216" s="69">
        <v>909</v>
      </c>
      <c r="C216" s="70" t="s">
        <v>141</v>
      </c>
      <c r="D216" s="70">
        <v>11</v>
      </c>
      <c r="E216" s="70" t="s">
        <v>69</v>
      </c>
      <c r="F216" s="70" t="s">
        <v>70</v>
      </c>
      <c r="G216" s="262" t="s">
        <v>748</v>
      </c>
      <c r="H216" s="70" t="s">
        <v>165</v>
      </c>
      <c r="I216" s="93"/>
      <c r="J216" s="173">
        <v>5775</v>
      </c>
      <c r="K216" s="250">
        <v>63525</v>
      </c>
      <c r="L216" s="213"/>
      <c r="M216" s="250">
        <v>57750</v>
      </c>
      <c r="N216" s="476">
        <f t="shared" si="4"/>
        <v>63525</v>
      </c>
    </row>
    <row r="217" spans="1:14" ht="78.75">
      <c r="A217" s="71" t="s">
        <v>773</v>
      </c>
      <c r="B217" s="69">
        <v>909</v>
      </c>
      <c r="C217" s="70" t="s">
        <v>141</v>
      </c>
      <c r="D217" s="70">
        <v>11</v>
      </c>
      <c r="E217" s="70" t="s">
        <v>69</v>
      </c>
      <c r="F217" s="70" t="s">
        <v>70</v>
      </c>
      <c r="G217" s="262" t="s">
        <v>748</v>
      </c>
      <c r="H217" s="70" t="s">
        <v>110</v>
      </c>
      <c r="I217" s="93"/>
      <c r="J217" s="173">
        <v>35805</v>
      </c>
      <c r="K217" s="250">
        <v>393855</v>
      </c>
      <c r="L217" s="213"/>
      <c r="M217" s="250">
        <v>358050</v>
      </c>
      <c r="N217" s="476">
        <f t="shared" si="4"/>
        <v>393855</v>
      </c>
    </row>
    <row r="218" spans="1:14" ht="94.5">
      <c r="A218" s="65" t="s">
        <v>699</v>
      </c>
      <c r="B218" s="23" t="s">
        <v>132</v>
      </c>
      <c r="C218" s="23" t="s">
        <v>141</v>
      </c>
      <c r="D218" s="23">
        <v>11</v>
      </c>
      <c r="E218" s="23" t="s">
        <v>69</v>
      </c>
      <c r="F218" s="23" t="s">
        <v>70</v>
      </c>
      <c r="G218" s="141" t="s">
        <v>541</v>
      </c>
      <c r="H218" s="23" t="s">
        <v>110</v>
      </c>
      <c r="I218" s="88"/>
      <c r="J218" s="170">
        <v>4620</v>
      </c>
      <c r="K218" s="250">
        <v>50820</v>
      </c>
      <c r="L218" s="213"/>
      <c r="M218" s="250">
        <v>46200</v>
      </c>
      <c r="N218" s="476">
        <f t="shared" si="4"/>
        <v>50820</v>
      </c>
    </row>
    <row r="219" spans="1:14" ht="15.75">
      <c r="A219" s="249" t="s">
        <v>240</v>
      </c>
      <c r="B219" s="24" t="s">
        <v>132</v>
      </c>
      <c r="C219" s="24" t="s">
        <v>241</v>
      </c>
      <c r="D219" s="24"/>
      <c r="E219" s="24"/>
      <c r="F219" s="24"/>
      <c r="G219" s="24"/>
      <c r="H219" s="24"/>
      <c r="I219" s="25">
        <f>SUM(I220:I222)</f>
        <v>0</v>
      </c>
      <c r="J219" s="293">
        <f>SUM(J220:J223)</f>
        <v>0</v>
      </c>
      <c r="K219" s="25">
        <f>SUM(K220:K223)</f>
        <v>5203896.260000001</v>
      </c>
      <c r="L219" s="25">
        <f>SUM(L220:L223)</f>
        <v>180780.4500000002</v>
      </c>
      <c r="M219" s="25">
        <f>SUM(M220:M223)</f>
        <v>5203896.260000001</v>
      </c>
      <c r="N219" s="476">
        <f t="shared" si="4"/>
        <v>5203896.260000001</v>
      </c>
    </row>
    <row r="220" spans="1:14" ht="96.75" customHeight="1">
      <c r="A220" s="65" t="s">
        <v>548</v>
      </c>
      <c r="B220" s="22" t="s">
        <v>132</v>
      </c>
      <c r="C220" s="22" t="s">
        <v>241</v>
      </c>
      <c r="D220" s="22" t="s">
        <v>120</v>
      </c>
      <c r="E220" s="22" t="s">
        <v>60</v>
      </c>
      <c r="F220" s="22" t="s">
        <v>120</v>
      </c>
      <c r="G220" s="141" t="s">
        <v>543</v>
      </c>
      <c r="H220" s="22" t="s">
        <v>164</v>
      </c>
      <c r="I220" s="87"/>
      <c r="J220" s="170"/>
      <c r="K220" s="250">
        <v>4278731.61</v>
      </c>
      <c r="L220" s="213">
        <v>180780.4500000002</v>
      </c>
      <c r="M220" s="250">
        <v>4278731.61</v>
      </c>
      <c r="N220" s="476">
        <f t="shared" si="4"/>
        <v>4278731.61</v>
      </c>
    </row>
    <row r="221" spans="1:14" ht="66.75" customHeight="1">
      <c r="A221" s="65" t="s">
        <v>594</v>
      </c>
      <c r="B221" s="22" t="s">
        <v>132</v>
      </c>
      <c r="C221" s="22" t="s">
        <v>241</v>
      </c>
      <c r="D221" s="22" t="s">
        <v>120</v>
      </c>
      <c r="E221" s="22" t="s">
        <v>60</v>
      </c>
      <c r="F221" s="22" t="s">
        <v>120</v>
      </c>
      <c r="G221" s="141" t="s">
        <v>543</v>
      </c>
      <c r="H221" s="22" t="s">
        <v>165</v>
      </c>
      <c r="I221" s="87"/>
      <c r="J221" s="173"/>
      <c r="K221" s="270">
        <f>784950.65-11500</f>
        <v>773450.65</v>
      </c>
      <c r="L221" s="213"/>
      <c r="M221" s="270">
        <f>784950.65-11500</f>
        <v>773450.65</v>
      </c>
      <c r="N221" s="476">
        <f t="shared" si="4"/>
        <v>773450.65</v>
      </c>
    </row>
    <row r="222" spans="1:14" ht="53.25" customHeight="1">
      <c r="A222" s="65" t="s">
        <v>542</v>
      </c>
      <c r="B222" s="22" t="s">
        <v>132</v>
      </c>
      <c r="C222" s="22" t="s">
        <v>241</v>
      </c>
      <c r="D222" s="22" t="s">
        <v>120</v>
      </c>
      <c r="E222" s="22" t="s">
        <v>60</v>
      </c>
      <c r="F222" s="22" t="s">
        <v>120</v>
      </c>
      <c r="G222" s="141" t="s">
        <v>543</v>
      </c>
      <c r="H222" s="22" t="s">
        <v>166</v>
      </c>
      <c r="I222" s="87"/>
      <c r="J222" s="173"/>
      <c r="K222" s="272">
        <v>0</v>
      </c>
      <c r="L222" s="213"/>
      <c r="M222" s="272">
        <v>0</v>
      </c>
      <c r="N222" s="476">
        <f t="shared" si="4"/>
        <v>0</v>
      </c>
    </row>
    <row r="223" spans="1:14" ht="63.75" customHeight="1">
      <c r="A223" s="71" t="s">
        <v>1005</v>
      </c>
      <c r="B223" s="22" t="s">
        <v>132</v>
      </c>
      <c r="C223" s="22" t="s">
        <v>241</v>
      </c>
      <c r="D223" s="22" t="s">
        <v>231</v>
      </c>
      <c r="E223" s="22" t="s">
        <v>60</v>
      </c>
      <c r="F223" s="22" t="s">
        <v>120</v>
      </c>
      <c r="G223" s="141" t="s">
        <v>1017</v>
      </c>
      <c r="H223" s="22" t="s">
        <v>110</v>
      </c>
      <c r="I223" s="87"/>
      <c r="J223" s="173"/>
      <c r="K223" s="250">
        <v>151714</v>
      </c>
      <c r="L223" s="213"/>
      <c r="M223" s="250">
        <v>151714</v>
      </c>
      <c r="N223" s="476">
        <f t="shared" si="4"/>
        <v>151714</v>
      </c>
    </row>
    <row r="224" spans="1:14" ht="15.75">
      <c r="A224" s="259" t="s">
        <v>255</v>
      </c>
      <c r="B224" s="24" t="s">
        <v>132</v>
      </c>
      <c r="C224" s="24" t="s">
        <v>256</v>
      </c>
      <c r="D224" s="24"/>
      <c r="E224" s="24"/>
      <c r="F224" s="24"/>
      <c r="G224" s="24"/>
      <c r="H224" s="24"/>
      <c r="I224" s="25">
        <f>I225</f>
        <v>0</v>
      </c>
      <c r="J224" s="293">
        <f>J225+J228</f>
        <v>0</v>
      </c>
      <c r="K224" s="25">
        <f>K225+K228</f>
        <v>2264012.8</v>
      </c>
      <c r="L224" s="213"/>
      <c r="M224" s="25">
        <f>M225+M228</f>
        <v>2264012.8</v>
      </c>
      <c r="N224" s="476">
        <f t="shared" si="4"/>
        <v>2264012.8</v>
      </c>
    </row>
    <row r="225" spans="1:14" ht="15.75">
      <c r="A225" s="249" t="s">
        <v>203</v>
      </c>
      <c r="B225" s="24" t="s">
        <v>132</v>
      </c>
      <c r="C225" s="24" t="s">
        <v>204</v>
      </c>
      <c r="D225" s="24"/>
      <c r="E225" s="24"/>
      <c r="F225" s="24"/>
      <c r="G225" s="24"/>
      <c r="H225" s="24"/>
      <c r="I225" s="25">
        <f>SUM(I226:I227)</f>
        <v>0</v>
      </c>
      <c r="J225" s="293">
        <f>SUM(J226:J227)</f>
        <v>0</v>
      </c>
      <c r="K225" s="25">
        <f>SUM(K226:K227)</f>
        <v>1217512.8</v>
      </c>
      <c r="L225" s="213"/>
      <c r="M225" s="25">
        <f>SUM(M226:M227)</f>
        <v>1217512.8</v>
      </c>
      <c r="N225" s="476">
        <f t="shared" si="4"/>
        <v>1217512.8</v>
      </c>
    </row>
    <row r="226" spans="1:14" ht="117" customHeight="1">
      <c r="A226" s="65" t="s">
        <v>546</v>
      </c>
      <c r="B226" s="22" t="s">
        <v>132</v>
      </c>
      <c r="C226" s="22" t="s">
        <v>204</v>
      </c>
      <c r="D226" s="22" t="s">
        <v>231</v>
      </c>
      <c r="E226" s="22" t="s">
        <v>69</v>
      </c>
      <c r="F226" s="22" t="s">
        <v>70</v>
      </c>
      <c r="G226" s="141" t="s">
        <v>545</v>
      </c>
      <c r="H226" s="22" t="s">
        <v>111</v>
      </c>
      <c r="I226" s="87"/>
      <c r="J226" s="173"/>
      <c r="K226" s="205">
        <v>1130892.7</v>
      </c>
      <c r="L226" s="213"/>
      <c r="M226" s="205">
        <v>1130892.7</v>
      </c>
      <c r="N226" s="476">
        <f t="shared" si="4"/>
        <v>1130892.7</v>
      </c>
    </row>
    <row r="227" spans="1:14" ht="119.25" customHeight="1">
      <c r="A227" s="65" t="s">
        <v>546</v>
      </c>
      <c r="B227" s="23" t="s">
        <v>132</v>
      </c>
      <c r="C227" s="23" t="s">
        <v>204</v>
      </c>
      <c r="D227" s="23" t="s">
        <v>231</v>
      </c>
      <c r="E227" s="23" t="s">
        <v>60</v>
      </c>
      <c r="F227" s="23" t="s">
        <v>70</v>
      </c>
      <c r="G227" s="141" t="s">
        <v>545</v>
      </c>
      <c r="H227" s="23" t="s">
        <v>111</v>
      </c>
      <c r="I227" s="88"/>
      <c r="J227" s="170"/>
      <c r="K227" s="205">
        <v>86620.1</v>
      </c>
      <c r="L227" s="213"/>
      <c r="M227" s="205">
        <v>86620.1</v>
      </c>
      <c r="N227" s="476">
        <f t="shared" si="4"/>
        <v>86620.1</v>
      </c>
    </row>
    <row r="228" spans="1:14" ht="15.75">
      <c r="A228" s="249" t="s">
        <v>330</v>
      </c>
      <c r="B228" s="24" t="s">
        <v>132</v>
      </c>
      <c r="C228" s="24" t="s">
        <v>329</v>
      </c>
      <c r="D228" s="24"/>
      <c r="E228" s="24"/>
      <c r="F228" s="24"/>
      <c r="G228" s="24"/>
      <c r="H228" s="24"/>
      <c r="I228" s="25">
        <f>SUM(I229:I233)</f>
        <v>-275.2</v>
      </c>
      <c r="J228" s="293">
        <f>SUM(J229:J232)</f>
        <v>0</v>
      </c>
      <c r="K228" s="25">
        <f>SUM(K229:K232)</f>
        <v>1046500</v>
      </c>
      <c r="L228" s="213"/>
      <c r="M228" s="25">
        <f>SUM(M229:M232)</f>
        <v>1046500</v>
      </c>
      <c r="N228" s="476">
        <f t="shared" si="4"/>
        <v>1046500</v>
      </c>
    </row>
    <row r="229" spans="1:14" ht="102" customHeight="1">
      <c r="A229" s="235" t="s">
        <v>544</v>
      </c>
      <c r="B229" s="141" t="s">
        <v>132</v>
      </c>
      <c r="C229" s="141" t="s">
        <v>329</v>
      </c>
      <c r="D229" s="141" t="s">
        <v>163</v>
      </c>
      <c r="E229" s="141" t="s">
        <v>119</v>
      </c>
      <c r="F229" s="141" t="s">
        <v>500</v>
      </c>
      <c r="G229" s="141" t="s">
        <v>547</v>
      </c>
      <c r="H229" s="141" t="s">
        <v>111</v>
      </c>
      <c r="I229" s="172"/>
      <c r="J229" s="260"/>
      <c r="K229" s="146">
        <v>1035000</v>
      </c>
      <c r="L229" s="213"/>
      <c r="M229" s="146">
        <v>1035000</v>
      </c>
      <c r="N229" s="476">
        <f t="shared" si="4"/>
        <v>1035000</v>
      </c>
    </row>
    <row r="230" spans="1:14" ht="65.25" customHeight="1">
      <c r="A230" s="237" t="s">
        <v>946</v>
      </c>
      <c r="B230" s="141" t="s">
        <v>132</v>
      </c>
      <c r="C230" s="141" t="s">
        <v>329</v>
      </c>
      <c r="D230" s="141" t="s">
        <v>1381</v>
      </c>
      <c r="E230" s="141" t="s">
        <v>69</v>
      </c>
      <c r="F230" s="141" t="s">
        <v>120</v>
      </c>
      <c r="G230" s="141" t="s">
        <v>968</v>
      </c>
      <c r="H230" s="141" t="s">
        <v>165</v>
      </c>
      <c r="I230" s="172"/>
      <c r="J230" s="260"/>
      <c r="K230" s="250">
        <v>0</v>
      </c>
      <c r="L230" s="213"/>
      <c r="M230" s="250">
        <v>0</v>
      </c>
      <c r="N230" s="476">
        <f t="shared" si="4"/>
        <v>0</v>
      </c>
    </row>
    <row r="231" spans="1:14" ht="65.25" customHeight="1">
      <c r="A231" s="237" t="s">
        <v>1386</v>
      </c>
      <c r="B231" s="141" t="s">
        <v>132</v>
      </c>
      <c r="C231" s="141" t="s">
        <v>329</v>
      </c>
      <c r="D231" s="141" t="s">
        <v>1381</v>
      </c>
      <c r="E231" s="141" t="s">
        <v>69</v>
      </c>
      <c r="F231" s="141" t="s">
        <v>70</v>
      </c>
      <c r="G231" s="141" t="s">
        <v>1388</v>
      </c>
      <c r="H231" s="141" t="s">
        <v>165</v>
      </c>
      <c r="I231" s="172"/>
      <c r="J231" s="260"/>
      <c r="K231" s="250">
        <v>11500</v>
      </c>
      <c r="L231" s="213"/>
      <c r="M231" s="250">
        <v>11500</v>
      </c>
      <c r="N231" s="476">
        <f t="shared" si="4"/>
        <v>11500</v>
      </c>
    </row>
    <row r="232" spans="1:14" ht="75" customHeight="1">
      <c r="A232" s="71" t="s">
        <v>902</v>
      </c>
      <c r="B232" s="22" t="s">
        <v>132</v>
      </c>
      <c r="C232" s="22" t="s">
        <v>329</v>
      </c>
      <c r="D232" s="22" t="s">
        <v>1381</v>
      </c>
      <c r="E232" s="22" t="s">
        <v>69</v>
      </c>
      <c r="F232" s="22" t="s">
        <v>242</v>
      </c>
      <c r="G232" s="141" t="s">
        <v>969</v>
      </c>
      <c r="H232" s="22" t="s">
        <v>165</v>
      </c>
      <c r="I232" s="87"/>
      <c r="J232" s="173"/>
      <c r="K232" s="250">
        <v>0</v>
      </c>
      <c r="L232" s="213"/>
      <c r="M232" s="250">
        <v>0</v>
      </c>
      <c r="N232" s="476">
        <f t="shared" si="4"/>
        <v>0</v>
      </c>
    </row>
    <row r="233" spans="1:14" ht="31.5">
      <c r="A233" s="247" t="s">
        <v>115</v>
      </c>
      <c r="B233" s="248" t="s">
        <v>114</v>
      </c>
      <c r="C233" s="248"/>
      <c r="D233" s="248"/>
      <c r="E233" s="248"/>
      <c r="F233" s="248"/>
      <c r="G233" s="248"/>
      <c r="H233" s="248"/>
      <c r="I233" s="218">
        <f>I234</f>
        <v>-275.2</v>
      </c>
      <c r="J233" s="468">
        <f>J234+J245</f>
        <v>75926</v>
      </c>
      <c r="K233" s="203">
        <f>K234+K245</f>
        <v>4705646</v>
      </c>
      <c r="L233" s="203">
        <f>L234+L245</f>
        <v>162508.19999999972</v>
      </c>
      <c r="M233" s="203">
        <f>M234+M245</f>
        <v>4629720</v>
      </c>
      <c r="N233" s="476">
        <f t="shared" si="4"/>
        <v>4705646</v>
      </c>
    </row>
    <row r="234" spans="1:14" ht="15.75">
      <c r="A234" s="249" t="s">
        <v>285</v>
      </c>
      <c r="B234" s="24" t="s">
        <v>114</v>
      </c>
      <c r="C234" s="24" t="s">
        <v>286</v>
      </c>
      <c r="D234" s="24"/>
      <c r="E234" s="24"/>
      <c r="F234" s="24"/>
      <c r="G234" s="24"/>
      <c r="H234" s="24"/>
      <c r="I234" s="25">
        <f>SUM(I236:I240)</f>
        <v>-275.2</v>
      </c>
      <c r="J234" s="293">
        <f>SUM(J235,J239,J243)</f>
        <v>75926</v>
      </c>
      <c r="K234" s="165">
        <f>SUM(K235,K239,K243,K241)</f>
        <v>4698146</v>
      </c>
      <c r="L234" s="165">
        <f>SUM(L235,L239,L243)</f>
        <v>162508.19999999972</v>
      </c>
      <c r="M234" s="165">
        <f>SUM(M235,M239,M243,M241)</f>
        <v>4622220</v>
      </c>
      <c r="N234" s="476">
        <f t="shared" si="4"/>
        <v>4698146</v>
      </c>
    </row>
    <row r="235" spans="1:14" ht="47.25">
      <c r="A235" s="249" t="s">
        <v>616</v>
      </c>
      <c r="B235" s="24" t="s">
        <v>114</v>
      </c>
      <c r="C235" s="24" t="s">
        <v>131</v>
      </c>
      <c r="D235" s="24"/>
      <c r="E235" s="24"/>
      <c r="F235" s="24"/>
      <c r="G235" s="24"/>
      <c r="H235" s="24"/>
      <c r="I235" s="25"/>
      <c r="J235" s="293">
        <f>SUM(J236:J238)</f>
        <v>72040</v>
      </c>
      <c r="K235" s="165">
        <f>SUM(K236:K238)</f>
        <v>4309040</v>
      </c>
      <c r="L235" s="165">
        <f>SUM(L236:L238)</f>
        <v>162508.19999999972</v>
      </c>
      <c r="M235" s="165">
        <f>SUM(M236:M238)</f>
        <v>4237000</v>
      </c>
      <c r="N235" s="476">
        <f t="shared" si="4"/>
        <v>4309040</v>
      </c>
    </row>
    <row r="236" spans="1:14" ht="99" customHeight="1">
      <c r="A236" s="71" t="s">
        <v>549</v>
      </c>
      <c r="B236" s="23" t="s">
        <v>114</v>
      </c>
      <c r="C236" s="23" t="s">
        <v>131</v>
      </c>
      <c r="D236" s="23" t="s">
        <v>297</v>
      </c>
      <c r="E236" s="23" t="s">
        <v>69</v>
      </c>
      <c r="F236" s="23" t="s">
        <v>70</v>
      </c>
      <c r="G236" s="141" t="s">
        <v>550</v>
      </c>
      <c r="H236" s="22" t="s">
        <v>164</v>
      </c>
      <c r="I236" s="87">
        <v>-216</v>
      </c>
      <c r="J236" s="170"/>
      <c r="K236" s="250">
        <v>3850265.8</v>
      </c>
      <c r="L236" s="213">
        <v>162508.19999999972</v>
      </c>
      <c r="M236" s="250">
        <v>3850265.8</v>
      </c>
      <c r="N236" s="476">
        <f t="shared" si="4"/>
        <v>3850265.8</v>
      </c>
    </row>
    <row r="237" spans="1:14" ht="63">
      <c r="A237" s="71" t="s">
        <v>608</v>
      </c>
      <c r="B237" s="23" t="s">
        <v>114</v>
      </c>
      <c r="C237" s="23" t="s">
        <v>131</v>
      </c>
      <c r="D237" s="23" t="s">
        <v>297</v>
      </c>
      <c r="E237" s="23" t="s">
        <v>69</v>
      </c>
      <c r="F237" s="23" t="s">
        <v>70</v>
      </c>
      <c r="G237" s="141" t="s">
        <v>550</v>
      </c>
      <c r="H237" s="22" t="s">
        <v>165</v>
      </c>
      <c r="I237" s="87">
        <v>-53.2</v>
      </c>
      <c r="J237" s="173">
        <v>72040</v>
      </c>
      <c r="K237" s="250">
        <v>458774.2</v>
      </c>
      <c r="L237" s="213"/>
      <c r="M237" s="250">
        <v>386734.2</v>
      </c>
      <c r="N237" s="476">
        <f t="shared" si="4"/>
        <v>458774.2</v>
      </c>
    </row>
    <row r="238" spans="1:14" ht="47.25">
      <c r="A238" s="71" t="s">
        <v>463</v>
      </c>
      <c r="B238" s="23" t="s">
        <v>114</v>
      </c>
      <c r="C238" s="23" t="s">
        <v>131</v>
      </c>
      <c r="D238" s="23" t="s">
        <v>297</v>
      </c>
      <c r="E238" s="23" t="s">
        <v>69</v>
      </c>
      <c r="F238" s="23" t="s">
        <v>70</v>
      </c>
      <c r="G238" s="141" t="s">
        <v>550</v>
      </c>
      <c r="H238" s="22" t="s">
        <v>166</v>
      </c>
      <c r="I238" s="87">
        <v>-6</v>
      </c>
      <c r="J238" s="173"/>
      <c r="K238" s="250"/>
      <c r="L238" s="213"/>
      <c r="M238" s="250"/>
      <c r="N238" s="476">
        <f t="shared" si="4"/>
        <v>0</v>
      </c>
    </row>
    <row r="239" spans="1:14" ht="20.25" customHeight="1">
      <c r="A239" s="241" t="s">
        <v>617</v>
      </c>
      <c r="B239" s="153" t="s">
        <v>114</v>
      </c>
      <c r="C239" s="153" t="s">
        <v>268</v>
      </c>
      <c r="D239" s="127"/>
      <c r="E239" s="127"/>
      <c r="F239" s="127"/>
      <c r="G239" s="127"/>
      <c r="H239" s="127"/>
      <c r="I239" s="154"/>
      <c r="J239" s="293">
        <f>J240</f>
        <v>3886</v>
      </c>
      <c r="K239" s="165">
        <f>K240</f>
        <v>9106</v>
      </c>
      <c r="L239" s="213"/>
      <c r="M239" s="165">
        <f>M240</f>
        <v>5220</v>
      </c>
      <c r="N239" s="476">
        <f t="shared" si="4"/>
        <v>9106</v>
      </c>
    </row>
    <row r="240" spans="1:14" ht="50.25" customHeight="1">
      <c r="A240" s="65" t="s">
        <v>895</v>
      </c>
      <c r="B240" s="22" t="s">
        <v>114</v>
      </c>
      <c r="C240" s="22" t="s">
        <v>268</v>
      </c>
      <c r="D240" s="22" t="s">
        <v>551</v>
      </c>
      <c r="E240" s="22" t="s">
        <v>119</v>
      </c>
      <c r="F240" s="22" t="s">
        <v>500</v>
      </c>
      <c r="G240" s="141" t="s">
        <v>552</v>
      </c>
      <c r="H240" s="22" t="s">
        <v>53</v>
      </c>
      <c r="I240" s="87"/>
      <c r="J240" s="173">
        <v>3886</v>
      </c>
      <c r="K240" s="250">
        <v>9106</v>
      </c>
      <c r="L240" s="213"/>
      <c r="M240" s="250">
        <v>5220</v>
      </c>
      <c r="N240" s="476">
        <f t="shared" si="4"/>
        <v>9106</v>
      </c>
    </row>
    <row r="241" spans="1:14" ht="20.25" customHeight="1">
      <c r="A241" s="241" t="s">
        <v>1349</v>
      </c>
      <c r="B241" s="153" t="s">
        <v>114</v>
      </c>
      <c r="C241" s="153" t="s">
        <v>1350</v>
      </c>
      <c r="D241" s="127"/>
      <c r="E241" s="127"/>
      <c r="F241" s="127"/>
      <c r="G241" s="127"/>
      <c r="H241" s="127"/>
      <c r="I241" s="154"/>
      <c r="J241" s="293">
        <f>J242</f>
        <v>0</v>
      </c>
      <c r="K241" s="165">
        <f>K242</f>
        <v>380000</v>
      </c>
      <c r="L241" s="213"/>
      <c r="M241" s="165">
        <f>M242</f>
        <v>380000</v>
      </c>
      <c r="N241" s="476">
        <f t="shared" si="4"/>
        <v>380000</v>
      </c>
    </row>
    <row r="242" spans="1:14" ht="36" customHeight="1">
      <c r="A242" s="235" t="s">
        <v>1351</v>
      </c>
      <c r="B242" s="22" t="s">
        <v>114</v>
      </c>
      <c r="C242" s="22" t="s">
        <v>1350</v>
      </c>
      <c r="D242" s="22" t="s">
        <v>163</v>
      </c>
      <c r="E242" s="22" t="s">
        <v>119</v>
      </c>
      <c r="F242" s="22" t="s">
        <v>500</v>
      </c>
      <c r="G242" s="141" t="s">
        <v>1397</v>
      </c>
      <c r="H242" s="22" t="s">
        <v>166</v>
      </c>
      <c r="I242" s="87"/>
      <c r="J242" s="173"/>
      <c r="K242" s="250">
        <v>380000</v>
      </c>
      <c r="L242" s="213"/>
      <c r="M242" s="250">
        <v>380000</v>
      </c>
      <c r="N242" s="476">
        <f t="shared" si="4"/>
        <v>380000</v>
      </c>
    </row>
    <row r="243" spans="1:14" ht="19.5" customHeight="1">
      <c r="A243" s="241" t="s">
        <v>316</v>
      </c>
      <c r="B243" s="153" t="s">
        <v>114</v>
      </c>
      <c r="C243" s="153" t="s">
        <v>317</v>
      </c>
      <c r="D243" s="127"/>
      <c r="E243" s="127"/>
      <c r="F243" s="127"/>
      <c r="G243" s="127"/>
      <c r="H243" s="127"/>
      <c r="I243" s="154"/>
      <c r="J243" s="293">
        <f>J244</f>
        <v>0</v>
      </c>
      <c r="K243" s="165">
        <f>K244</f>
        <v>0</v>
      </c>
      <c r="L243" s="213"/>
      <c r="M243" s="165">
        <f>M244</f>
        <v>0</v>
      </c>
      <c r="N243" s="476">
        <f t="shared" si="4"/>
        <v>0</v>
      </c>
    </row>
    <row r="244" spans="1:14" ht="159" customHeight="1">
      <c r="A244" s="65" t="s">
        <v>1047</v>
      </c>
      <c r="B244" s="22" t="s">
        <v>114</v>
      </c>
      <c r="C244" s="22" t="s">
        <v>317</v>
      </c>
      <c r="D244" s="22" t="s">
        <v>163</v>
      </c>
      <c r="E244" s="22" t="s">
        <v>119</v>
      </c>
      <c r="F244" s="22" t="s">
        <v>500</v>
      </c>
      <c r="G244" s="141" t="s">
        <v>623</v>
      </c>
      <c r="H244" s="22" t="s">
        <v>166</v>
      </c>
      <c r="I244" s="87"/>
      <c r="J244" s="173"/>
      <c r="K244" s="250"/>
      <c r="L244" s="213"/>
      <c r="M244" s="250"/>
      <c r="N244" s="476">
        <f t="shared" si="4"/>
        <v>0</v>
      </c>
    </row>
    <row r="245" spans="1:14" ht="15.75">
      <c r="A245" s="160" t="s">
        <v>255</v>
      </c>
      <c r="B245" s="153" t="s">
        <v>114</v>
      </c>
      <c r="C245" s="153" t="s">
        <v>256</v>
      </c>
      <c r="D245" s="153"/>
      <c r="E245" s="153"/>
      <c r="F245" s="153"/>
      <c r="G245" s="153"/>
      <c r="H245" s="153"/>
      <c r="I245" s="159"/>
      <c r="J245" s="293">
        <f>J246</f>
        <v>0</v>
      </c>
      <c r="K245" s="255">
        <f>K246</f>
        <v>7500</v>
      </c>
      <c r="L245" s="213"/>
      <c r="M245" s="255">
        <f>M246</f>
        <v>7500</v>
      </c>
      <c r="N245" s="476">
        <f t="shared" si="4"/>
        <v>7500</v>
      </c>
    </row>
    <row r="246" spans="1:14" ht="15.75">
      <c r="A246" s="160" t="s">
        <v>316</v>
      </c>
      <c r="B246" s="153" t="s">
        <v>114</v>
      </c>
      <c r="C246" s="153" t="s">
        <v>329</v>
      </c>
      <c r="D246" s="153"/>
      <c r="E246" s="153"/>
      <c r="F246" s="153"/>
      <c r="G246" s="153"/>
      <c r="H246" s="153"/>
      <c r="I246" s="159"/>
      <c r="J246" s="293">
        <f>SUM(J247:J247)</f>
        <v>0</v>
      </c>
      <c r="K246" s="159">
        <f>SUM(K247:K248)</f>
        <v>7500</v>
      </c>
      <c r="L246" s="213"/>
      <c r="M246" s="159">
        <f>SUM(M247:M248)</f>
        <v>7500</v>
      </c>
      <c r="N246" s="476">
        <f t="shared" si="4"/>
        <v>7500</v>
      </c>
    </row>
    <row r="247" spans="1:14" ht="61.5" customHeight="1">
      <c r="A247" s="71" t="s">
        <v>1072</v>
      </c>
      <c r="B247" s="22" t="s">
        <v>114</v>
      </c>
      <c r="C247" s="22" t="s">
        <v>329</v>
      </c>
      <c r="D247" s="22" t="s">
        <v>1381</v>
      </c>
      <c r="E247" s="22" t="s">
        <v>69</v>
      </c>
      <c r="F247" s="22" t="s">
        <v>120</v>
      </c>
      <c r="G247" s="141" t="s">
        <v>1067</v>
      </c>
      <c r="H247" s="22" t="s">
        <v>165</v>
      </c>
      <c r="I247" s="87"/>
      <c r="J247" s="173"/>
      <c r="K247" s="250">
        <v>2500</v>
      </c>
      <c r="L247" s="213"/>
      <c r="M247" s="250">
        <v>2500</v>
      </c>
      <c r="N247" s="476">
        <f t="shared" si="4"/>
        <v>2500</v>
      </c>
    </row>
    <row r="248" spans="1:14" ht="77.25" customHeight="1">
      <c r="A248" s="237" t="s">
        <v>1335</v>
      </c>
      <c r="B248" s="141" t="s">
        <v>114</v>
      </c>
      <c r="C248" s="141" t="s">
        <v>329</v>
      </c>
      <c r="D248" s="141" t="s">
        <v>1381</v>
      </c>
      <c r="E248" s="141" t="s">
        <v>69</v>
      </c>
      <c r="F248" s="141" t="s">
        <v>242</v>
      </c>
      <c r="G248" s="141" t="s">
        <v>1336</v>
      </c>
      <c r="H248" s="141" t="s">
        <v>165</v>
      </c>
      <c r="I248" s="172"/>
      <c r="J248" s="260"/>
      <c r="K248" s="250">
        <v>5000</v>
      </c>
      <c r="L248" s="222"/>
      <c r="M248" s="250">
        <v>5000</v>
      </c>
      <c r="N248" s="476">
        <f t="shared" si="4"/>
        <v>5000</v>
      </c>
    </row>
    <row r="249" spans="1:14" ht="31.5">
      <c r="A249" s="247" t="s">
        <v>250</v>
      </c>
      <c r="B249" s="248" t="s">
        <v>295</v>
      </c>
      <c r="C249" s="248"/>
      <c r="D249" s="248"/>
      <c r="E249" s="248"/>
      <c r="F249" s="248"/>
      <c r="G249" s="248"/>
      <c r="H249" s="248"/>
      <c r="I249" s="218">
        <f>I251</f>
        <v>1400</v>
      </c>
      <c r="J249" s="468">
        <f>J250+J254</f>
        <v>0</v>
      </c>
      <c r="K249" s="203">
        <f>K250+K254</f>
        <v>1389873.6099999999</v>
      </c>
      <c r="L249" s="203">
        <f>L250+L254</f>
        <v>47416.75</v>
      </c>
      <c r="M249" s="203">
        <f>M250+M254</f>
        <v>1389873.6099999999</v>
      </c>
      <c r="N249" s="476">
        <f t="shared" si="4"/>
        <v>1389873.6099999999</v>
      </c>
    </row>
    <row r="250" spans="1:14" ht="15.75">
      <c r="A250" s="249" t="s">
        <v>285</v>
      </c>
      <c r="B250" s="153" t="s">
        <v>295</v>
      </c>
      <c r="C250" s="153" t="s">
        <v>286</v>
      </c>
      <c r="D250" s="153"/>
      <c r="E250" s="153"/>
      <c r="F250" s="153"/>
      <c r="G250" s="153"/>
      <c r="H250" s="153"/>
      <c r="I250" s="163"/>
      <c r="J250" s="293">
        <f>J251</f>
        <v>0</v>
      </c>
      <c r="K250" s="165">
        <f>K251</f>
        <v>1389873.6099999999</v>
      </c>
      <c r="L250" s="165">
        <f>L251</f>
        <v>47416.75</v>
      </c>
      <c r="M250" s="165">
        <f>M251</f>
        <v>1389873.6099999999</v>
      </c>
      <c r="N250" s="476">
        <f t="shared" si="4"/>
        <v>1389873.6099999999</v>
      </c>
    </row>
    <row r="251" spans="1:14" ht="51" customHeight="1">
      <c r="A251" s="249" t="s">
        <v>616</v>
      </c>
      <c r="B251" s="24" t="s">
        <v>295</v>
      </c>
      <c r="C251" s="24" t="s">
        <v>131</v>
      </c>
      <c r="D251" s="24"/>
      <c r="E251" s="24"/>
      <c r="F251" s="24"/>
      <c r="G251" s="24"/>
      <c r="H251" s="24"/>
      <c r="I251" s="25">
        <f>SUM(I252:I253)</f>
        <v>1400</v>
      </c>
      <c r="J251" s="293">
        <f>SUM(J252:J253)</f>
        <v>0</v>
      </c>
      <c r="K251" s="165">
        <f>SUM(K252:K253)</f>
        <v>1389873.6099999999</v>
      </c>
      <c r="L251" s="165">
        <f>SUM(L252:L253)</f>
        <v>47416.75</v>
      </c>
      <c r="M251" s="165">
        <f>SUM(M252:M253)</f>
        <v>1389873.6099999999</v>
      </c>
      <c r="N251" s="476">
        <f t="shared" si="4"/>
        <v>1389873.6099999999</v>
      </c>
    </row>
    <row r="252" spans="1:14" ht="98.25" customHeight="1">
      <c r="A252" s="65" t="s">
        <v>364</v>
      </c>
      <c r="B252" s="23" t="s">
        <v>295</v>
      </c>
      <c r="C252" s="23" t="s">
        <v>131</v>
      </c>
      <c r="D252" s="23" t="s">
        <v>120</v>
      </c>
      <c r="E252" s="23" t="s">
        <v>60</v>
      </c>
      <c r="F252" s="23" t="s">
        <v>120</v>
      </c>
      <c r="G252" s="141" t="s">
        <v>553</v>
      </c>
      <c r="H252" s="22" t="s">
        <v>164</v>
      </c>
      <c r="I252" s="87"/>
      <c r="J252" s="170"/>
      <c r="K252" s="250">
        <v>1150297.21</v>
      </c>
      <c r="L252" s="213">
        <v>47416.75</v>
      </c>
      <c r="M252" s="250">
        <v>1150297.21</v>
      </c>
      <c r="N252" s="476">
        <f t="shared" si="4"/>
        <v>1150297.21</v>
      </c>
    </row>
    <row r="253" spans="1:14" ht="48.75" customHeight="1">
      <c r="A253" s="65" t="s">
        <v>595</v>
      </c>
      <c r="B253" s="23" t="s">
        <v>295</v>
      </c>
      <c r="C253" s="23" t="s">
        <v>131</v>
      </c>
      <c r="D253" s="23" t="s">
        <v>120</v>
      </c>
      <c r="E253" s="23" t="s">
        <v>60</v>
      </c>
      <c r="F253" s="23" t="s">
        <v>120</v>
      </c>
      <c r="G253" s="141" t="s">
        <v>553</v>
      </c>
      <c r="H253" s="22" t="s">
        <v>165</v>
      </c>
      <c r="I253" s="87">
        <v>1400</v>
      </c>
      <c r="J253" s="173"/>
      <c r="K253" s="250">
        <v>239576.4</v>
      </c>
      <c r="L253" s="213"/>
      <c r="M253" s="250">
        <v>239576.4</v>
      </c>
      <c r="N253" s="476">
        <f t="shared" si="4"/>
        <v>239576.4</v>
      </c>
    </row>
    <row r="254" spans="1:14" ht="15.75">
      <c r="A254" s="249" t="s">
        <v>255</v>
      </c>
      <c r="B254" s="24" t="s">
        <v>295</v>
      </c>
      <c r="C254" s="24" t="s">
        <v>256</v>
      </c>
      <c r="D254" s="127"/>
      <c r="E254" s="127"/>
      <c r="F254" s="127"/>
      <c r="G254" s="127"/>
      <c r="H254" s="127"/>
      <c r="I254" s="154"/>
      <c r="J254" s="293">
        <f>J255</f>
        <v>0</v>
      </c>
      <c r="K254" s="165">
        <f>K255</f>
        <v>0</v>
      </c>
      <c r="L254" s="213"/>
      <c r="M254" s="165">
        <f>M255</f>
        <v>0</v>
      </c>
      <c r="N254" s="476">
        <f t="shared" si="4"/>
        <v>0</v>
      </c>
    </row>
    <row r="255" spans="1:14" ht="15.75">
      <c r="A255" s="249" t="s">
        <v>316</v>
      </c>
      <c r="B255" s="24" t="s">
        <v>295</v>
      </c>
      <c r="C255" s="24" t="s">
        <v>329</v>
      </c>
      <c r="D255" s="24"/>
      <c r="E255" s="24"/>
      <c r="F255" s="24"/>
      <c r="G255" s="24"/>
      <c r="H255" s="24"/>
      <c r="I255" s="25">
        <f>I256</f>
        <v>0</v>
      </c>
      <c r="J255" s="293">
        <f>J256+J257</f>
        <v>0</v>
      </c>
      <c r="K255" s="165">
        <f>K256+K257</f>
        <v>0</v>
      </c>
      <c r="L255" s="213"/>
      <c r="M255" s="165">
        <f>M256+M257</f>
        <v>0</v>
      </c>
      <c r="N255" s="476">
        <f t="shared" si="4"/>
        <v>0</v>
      </c>
    </row>
    <row r="256" spans="1:14" ht="66" customHeight="1">
      <c r="A256" s="71" t="s">
        <v>898</v>
      </c>
      <c r="B256" s="22" t="s">
        <v>295</v>
      </c>
      <c r="C256" s="22" t="s">
        <v>329</v>
      </c>
      <c r="D256" s="22" t="s">
        <v>1381</v>
      </c>
      <c r="E256" s="22" t="s">
        <v>69</v>
      </c>
      <c r="F256" s="22" t="s">
        <v>70</v>
      </c>
      <c r="G256" s="141" t="s">
        <v>870</v>
      </c>
      <c r="H256" s="22" t="s">
        <v>165</v>
      </c>
      <c r="I256" s="87"/>
      <c r="J256" s="173"/>
      <c r="K256" s="250">
        <v>0</v>
      </c>
      <c r="L256" s="213"/>
      <c r="M256" s="250">
        <v>0</v>
      </c>
      <c r="N256" s="476">
        <f t="shared" si="4"/>
        <v>0</v>
      </c>
    </row>
    <row r="257" spans="1:14" ht="64.5" customHeight="1">
      <c r="A257" s="71" t="s">
        <v>944</v>
      </c>
      <c r="B257" s="22" t="s">
        <v>295</v>
      </c>
      <c r="C257" s="22" t="s">
        <v>329</v>
      </c>
      <c r="D257" s="22" t="s">
        <v>1381</v>
      </c>
      <c r="E257" s="22" t="s">
        <v>69</v>
      </c>
      <c r="F257" s="22" t="s">
        <v>120</v>
      </c>
      <c r="G257" s="141" t="s">
        <v>970</v>
      </c>
      <c r="H257" s="22" t="s">
        <v>165</v>
      </c>
      <c r="I257" s="87"/>
      <c r="J257" s="173"/>
      <c r="K257" s="250">
        <v>0</v>
      </c>
      <c r="L257" s="213"/>
      <c r="M257" s="250">
        <v>0</v>
      </c>
      <c r="N257" s="476">
        <f t="shared" si="4"/>
        <v>0</v>
      </c>
    </row>
    <row r="258" spans="1:14" ht="15.75">
      <c r="A258" s="247" t="s">
        <v>1209</v>
      </c>
      <c r="B258" s="248"/>
      <c r="C258" s="248"/>
      <c r="D258" s="248"/>
      <c r="E258" s="248"/>
      <c r="F258" s="248"/>
      <c r="G258" s="248"/>
      <c r="H258" s="248"/>
      <c r="I258" s="218" t="e">
        <f>I11+#REF!+I146+I157+I233+I249</f>
        <v>#REF!</v>
      </c>
      <c r="J258" s="468">
        <f>J11+J146+J157+J233+J249</f>
        <v>42847803.15</v>
      </c>
      <c r="K258" s="203">
        <f>K11+K146+K157+K233+K249</f>
        <v>364910738.99</v>
      </c>
      <c r="L258" s="203" t="e">
        <f>L11+L146+L157+L233+L249</f>
        <v>#REF!</v>
      </c>
      <c r="M258" s="203">
        <f>M11+M146+M157+M233+M249</f>
        <v>322062935.84000003</v>
      </c>
      <c r="N258" s="476">
        <f t="shared" si="4"/>
        <v>364910738.99</v>
      </c>
    </row>
    <row r="259" ht="15.75">
      <c r="K259" s="350"/>
    </row>
    <row r="260" ht="15.75">
      <c r="K260" s="350"/>
    </row>
    <row r="261" ht="15.75">
      <c r="K261" s="350"/>
    </row>
    <row r="262" spans="10:11" ht="31.5" customHeight="1" hidden="1">
      <c r="J262" s="475" t="s">
        <v>1324</v>
      </c>
      <c r="K262" s="204">
        <v>2020</v>
      </c>
    </row>
    <row r="263" spans="10:13" ht="31.5" customHeight="1" hidden="1">
      <c r="J263" s="205" t="s">
        <v>1325</v>
      </c>
      <c r="K263" s="205">
        <v>68492444</v>
      </c>
      <c r="L263" s="220" t="s">
        <v>1334</v>
      </c>
      <c r="M263" s="221" t="e">
        <f>K267-#REF!</f>
        <v>#REF!</v>
      </c>
    </row>
    <row r="264" spans="10:11" ht="31.5" customHeight="1" hidden="1">
      <c r="J264" s="205" t="s">
        <v>1326</v>
      </c>
      <c r="K264" s="205">
        <v>108400700</v>
      </c>
    </row>
    <row r="265" spans="10:11" ht="31.5" customHeight="1" hidden="1">
      <c r="J265" s="173" t="s">
        <v>1328</v>
      </c>
      <c r="K265" s="205">
        <v>12587230</v>
      </c>
    </row>
    <row r="266" spans="10:11" ht="31.5" customHeight="1" hidden="1">
      <c r="J266" s="173" t="s">
        <v>1329</v>
      </c>
      <c r="K266" s="205">
        <v>69684.75</v>
      </c>
    </row>
    <row r="267" spans="10:11" ht="31.5" customHeight="1" hidden="1">
      <c r="J267" s="206" t="s">
        <v>1327</v>
      </c>
      <c r="K267" s="206">
        <f>K263+K264+K265+K266</f>
        <v>189550058.75</v>
      </c>
    </row>
    <row r="268" ht="15.75" hidden="1">
      <c r="K268" s="350"/>
    </row>
    <row r="269" ht="55.5" customHeight="1" hidden="1">
      <c r="K269" s="350"/>
    </row>
    <row r="270" spans="1:11" ht="33" customHeight="1" hidden="1">
      <c r="A270" s="207" t="s">
        <v>766</v>
      </c>
      <c r="B270" s="208" t="s">
        <v>154</v>
      </c>
      <c r="C270" s="208" t="s">
        <v>317</v>
      </c>
      <c r="D270" s="208" t="s">
        <v>163</v>
      </c>
      <c r="E270" s="208" t="s">
        <v>119</v>
      </c>
      <c r="F270" s="208" t="s">
        <v>500</v>
      </c>
      <c r="G270" s="208" t="s">
        <v>767</v>
      </c>
      <c r="H270" s="208" t="s">
        <v>165</v>
      </c>
      <c r="I270" s="209"/>
      <c r="J270" s="210"/>
      <c r="K270" s="211">
        <v>4289425.6</v>
      </c>
    </row>
    <row r="271" ht="15.75">
      <c r="K271" s="350"/>
    </row>
    <row r="272" ht="15.75">
      <c r="K272" s="350"/>
    </row>
    <row r="273" ht="15.75">
      <c r="K273" s="350"/>
    </row>
    <row r="274" ht="15.75">
      <c r="K274" s="350"/>
    </row>
    <row r="275" ht="15.75">
      <c r="K275" s="350"/>
    </row>
    <row r="276" ht="15.75">
      <c r="K276" s="350"/>
    </row>
    <row r="277" ht="15.75">
      <c r="K277" s="350"/>
    </row>
    <row r="278" ht="15.75">
      <c r="K278" s="350"/>
    </row>
    <row r="279" ht="15.75">
      <c r="K279" s="350"/>
    </row>
    <row r="280" ht="15.75">
      <c r="K280" s="350"/>
    </row>
    <row r="281" ht="15.75">
      <c r="K281" s="350"/>
    </row>
    <row r="282" ht="15.75">
      <c r="K282" s="350"/>
    </row>
    <row r="283" ht="15.75">
      <c r="K283" s="350"/>
    </row>
    <row r="284" ht="15.75">
      <c r="K284" s="350"/>
    </row>
    <row r="285" ht="15.75">
      <c r="K285" s="350"/>
    </row>
    <row r="286" ht="15.75">
      <c r="K286" s="350"/>
    </row>
    <row r="287" ht="15.75">
      <c r="K287" s="350"/>
    </row>
    <row r="288" ht="15.75">
      <c r="K288" s="350"/>
    </row>
    <row r="289" ht="15.75">
      <c r="K289" s="350"/>
    </row>
    <row r="290" ht="15.75">
      <c r="K290" s="350"/>
    </row>
    <row r="291" ht="15.75">
      <c r="K291" s="350"/>
    </row>
    <row r="292" ht="15.75">
      <c r="K292" s="350"/>
    </row>
    <row r="293" ht="15.75">
      <c r="K293" s="350"/>
    </row>
    <row r="294" ht="15.75">
      <c r="K294" s="350"/>
    </row>
    <row r="295" ht="15.75">
      <c r="K295" s="350"/>
    </row>
    <row r="296" ht="15.75">
      <c r="K296" s="350"/>
    </row>
    <row r="297" ht="15.75">
      <c r="K297" s="350"/>
    </row>
    <row r="298" ht="15.75">
      <c r="K298" s="350"/>
    </row>
    <row r="299" ht="15.75">
      <c r="K299" s="350"/>
    </row>
    <row r="300" ht="15.75">
      <c r="K300" s="350"/>
    </row>
  </sheetData>
  <sheetProtection/>
  <mergeCells count="11">
    <mergeCell ref="B1:K1"/>
    <mergeCell ref="B3:K3"/>
    <mergeCell ref="A5:K6"/>
    <mergeCell ref="A8:A9"/>
    <mergeCell ref="B8:B9"/>
    <mergeCell ref="M9:M10"/>
    <mergeCell ref="I8:L8"/>
    <mergeCell ref="C8:C9"/>
    <mergeCell ref="H8:H9"/>
    <mergeCell ref="D8:G8"/>
    <mergeCell ref="B2:K2"/>
  </mergeCells>
  <printOptions/>
  <pageMargins left="0.31496062992125984" right="0.31496062992125984" top="0.32" bottom="0.22" header="0.18" footer="0.17"/>
  <pageSetup fitToHeight="0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3"/>
  <sheetViews>
    <sheetView view="pageBreakPreview" zoomScale="60" zoomScaleNormal="80" zoomScalePageLayoutView="0" workbookViewId="0" topLeftCell="A218">
      <selection activeCell="G224" sqref="G224"/>
    </sheetView>
  </sheetViews>
  <sheetFormatPr defaultColWidth="9.140625" defaultRowHeight="12.75"/>
  <cols>
    <col min="1" max="1" width="60.00390625" style="130" customWidth="1"/>
    <col min="2" max="3" width="14.00390625" style="130" customWidth="1"/>
    <col min="4" max="4" width="5.7109375" style="130" customWidth="1"/>
    <col min="5" max="6" width="5.140625" style="130" customWidth="1"/>
    <col min="7" max="7" width="15.28125" style="130" customWidth="1"/>
    <col min="8" max="8" width="14.421875" style="130" customWidth="1"/>
    <col min="9" max="9" width="14.421875" style="130" hidden="1" customWidth="1"/>
    <col min="10" max="10" width="18.140625" style="130" customWidth="1"/>
    <col min="11" max="11" width="17.57421875" style="20" customWidth="1"/>
    <col min="12" max="12" width="18.140625" style="421" hidden="1" customWidth="1"/>
    <col min="13" max="13" width="17.57421875" style="436" hidden="1" customWidth="1"/>
    <col min="14" max="14" width="0.5625" style="130" customWidth="1"/>
    <col min="15" max="15" width="13.421875" style="130" customWidth="1"/>
    <col min="16" max="16" width="15.8515625" style="130" customWidth="1"/>
    <col min="17" max="16384" width="9.140625" style="130" customWidth="1"/>
  </cols>
  <sheetData>
    <row r="1" spans="1:13" ht="15.75">
      <c r="A1" s="17"/>
      <c r="B1" s="541" t="s">
        <v>981</v>
      </c>
      <c r="C1" s="541"/>
      <c r="D1" s="541"/>
      <c r="E1" s="541"/>
      <c r="F1" s="541"/>
      <c r="G1" s="541"/>
      <c r="H1" s="541"/>
      <c r="I1" s="541"/>
      <c r="J1" s="541"/>
      <c r="K1" s="541"/>
      <c r="M1" s="421"/>
    </row>
    <row r="2" spans="1:13" ht="15.75">
      <c r="A2" s="18"/>
      <c r="B2" s="541" t="s">
        <v>157</v>
      </c>
      <c r="C2" s="541"/>
      <c r="D2" s="541"/>
      <c r="E2" s="541"/>
      <c r="F2" s="541"/>
      <c r="G2" s="541"/>
      <c r="H2" s="541"/>
      <c r="I2" s="541"/>
      <c r="J2" s="541"/>
      <c r="K2" s="541"/>
      <c r="M2" s="421"/>
    </row>
    <row r="3" spans="1:13" ht="15.75">
      <c r="A3" s="19"/>
      <c r="B3" s="541" t="s">
        <v>1458</v>
      </c>
      <c r="C3" s="541"/>
      <c r="D3" s="541"/>
      <c r="E3" s="541"/>
      <c r="F3" s="541"/>
      <c r="G3" s="541"/>
      <c r="H3" s="541"/>
      <c r="I3" s="541"/>
      <c r="J3" s="541"/>
      <c r="K3" s="541"/>
      <c r="M3" s="421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L4" s="435"/>
    </row>
    <row r="5" spans="1:13" ht="12.75">
      <c r="A5" s="508" t="s">
        <v>1308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M5" s="421"/>
    </row>
    <row r="6" spans="1:13" ht="21" customHeight="1">
      <c r="A6" s="508"/>
      <c r="B6" s="508"/>
      <c r="C6" s="508"/>
      <c r="D6" s="508"/>
      <c r="E6" s="508"/>
      <c r="F6" s="508"/>
      <c r="G6" s="508"/>
      <c r="H6" s="508"/>
      <c r="I6" s="508"/>
      <c r="J6" s="508"/>
      <c r="K6" s="508"/>
      <c r="M6" s="421"/>
    </row>
    <row r="7" spans="1:13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35"/>
      <c r="L7" s="435"/>
      <c r="M7" s="437"/>
    </row>
    <row r="8" spans="1:13" ht="20.25" customHeight="1">
      <c r="A8" s="540" t="s">
        <v>159</v>
      </c>
      <c r="B8" s="540" t="s">
        <v>158</v>
      </c>
      <c r="C8" s="540" t="s">
        <v>282</v>
      </c>
      <c r="D8" s="540" t="s">
        <v>283</v>
      </c>
      <c r="E8" s="540"/>
      <c r="F8" s="540"/>
      <c r="G8" s="540"/>
      <c r="H8" s="540" t="s">
        <v>284</v>
      </c>
      <c r="I8" s="535" t="s">
        <v>210</v>
      </c>
      <c r="J8" s="535"/>
      <c r="K8" s="535"/>
      <c r="L8" s="542" t="s">
        <v>1466</v>
      </c>
      <c r="M8" s="543"/>
    </row>
    <row r="9" spans="1:13" ht="25.5">
      <c r="A9" s="540"/>
      <c r="B9" s="540"/>
      <c r="C9" s="540"/>
      <c r="D9" s="244" t="s">
        <v>103</v>
      </c>
      <c r="E9" s="244" t="s">
        <v>104</v>
      </c>
      <c r="F9" s="244" t="s">
        <v>490</v>
      </c>
      <c r="G9" s="244" t="s">
        <v>491</v>
      </c>
      <c r="H9" s="540"/>
      <c r="I9" s="227" t="s">
        <v>228</v>
      </c>
      <c r="J9" s="276" t="s">
        <v>644</v>
      </c>
      <c r="K9" s="277" t="s">
        <v>645</v>
      </c>
      <c r="L9" s="432" t="s">
        <v>644</v>
      </c>
      <c r="M9" s="433" t="s">
        <v>645</v>
      </c>
    </row>
    <row r="10" spans="1:13" ht="15.75">
      <c r="A10" s="245" t="s">
        <v>69</v>
      </c>
      <c r="B10" s="245" t="s">
        <v>60</v>
      </c>
      <c r="C10" s="245" t="s">
        <v>233</v>
      </c>
      <c r="D10" s="245" t="s">
        <v>144</v>
      </c>
      <c r="E10" s="245" t="s">
        <v>93</v>
      </c>
      <c r="F10" s="245">
        <v>6</v>
      </c>
      <c r="G10" s="245">
        <v>7</v>
      </c>
      <c r="H10" s="245">
        <v>8</v>
      </c>
      <c r="I10" s="245" t="s">
        <v>94</v>
      </c>
      <c r="J10" s="245">
        <v>9</v>
      </c>
      <c r="K10" s="246">
        <v>10</v>
      </c>
      <c r="L10" s="438">
        <v>9</v>
      </c>
      <c r="M10" s="439">
        <v>10</v>
      </c>
    </row>
    <row r="11" spans="1:13" ht="15.75">
      <c r="A11" s="247" t="s">
        <v>155</v>
      </c>
      <c r="B11" s="248" t="s">
        <v>154</v>
      </c>
      <c r="C11" s="248"/>
      <c r="D11" s="248"/>
      <c r="E11" s="248"/>
      <c r="F11" s="248"/>
      <c r="G11" s="248"/>
      <c r="H11" s="248"/>
      <c r="I11" s="496" t="e">
        <f>I12+I44+I47+I69+I84+I89+I101+I113</f>
        <v>#REF!</v>
      </c>
      <c r="J11" s="218">
        <f>J12+J49+J52+J79+J101+J109+J126+J139</f>
        <v>70286545.55</v>
      </c>
      <c r="K11" s="218">
        <f>K12+K49+K52+K79+K101+K109+K126+K139</f>
        <v>65323557.81999999</v>
      </c>
      <c r="L11" s="440">
        <f>L12+L49+L52+L79+L101+L109+L126+L139</f>
        <v>72433459.55</v>
      </c>
      <c r="M11" s="440">
        <f>M12+M49+M52+M79+M101+M109+M126+M139</f>
        <v>63957883.81999999</v>
      </c>
    </row>
    <row r="12" spans="1:13" ht="15.75">
      <c r="A12" s="249" t="s">
        <v>285</v>
      </c>
      <c r="B12" s="24" t="s">
        <v>154</v>
      </c>
      <c r="C12" s="24" t="s">
        <v>286</v>
      </c>
      <c r="D12" s="24"/>
      <c r="E12" s="24"/>
      <c r="F12" s="24"/>
      <c r="G12" s="24"/>
      <c r="H12" s="24"/>
      <c r="I12" s="72" t="e">
        <f>I15+#REF!</f>
        <v>#REF!</v>
      </c>
      <c r="J12" s="25">
        <f>J13+J15+J22</f>
        <v>39213601.17</v>
      </c>
      <c r="K12" s="25">
        <f>K13+K15+K22</f>
        <v>35540507.19</v>
      </c>
      <c r="L12" s="441">
        <f>L13+L15+L22</f>
        <v>39213601.17</v>
      </c>
      <c r="M12" s="441">
        <f>M13+M15+M22</f>
        <v>36797007.19</v>
      </c>
    </row>
    <row r="13" spans="1:15" ht="39.75" customHeight="1">
      <c r="A13" s="249" t="s">
        <v>253</v>
      </c>
      <c r="B13" s="24" t="s">
        <v>154</v>
      </c>
      <c r="C13" s="24" t="s">
        <v>129</v>
      </c>
      <c r="D13" s="24"/>
      <c r="E13" s="24"/>
      <c r="F13" s="24"/>
      <c r="G13" s="24"/>
      <c r="H13" s="24"/>
      <c r="I13" s="72">
        <f>I14</f>
        <v>0</v>
      </c>
      <c r="J13" s="165">
        <f>J14</f>
        <v>1298844</v>
      </c>
      <c r="K13" s="165">
        <f>K14</f>
        <v>1298844</v>
      </c>
      <c r="L13" s="424">
        <f>L14</f>
        <v>1298844</v>
      </c>
      <c r="M13" s="424">
        <f>M14</f>
        <v>1298844</v>
      </c>
      <c r="N13" s="193"/>
      <c r="O13" s="193"/>
    </row>
    <row r="14" spans="1:15" ht="81" customHeight="1">
      <c r="A14" s="66" t="s">
        <v>554</v>
      </c>
      <c r="B14" s="23" t="s">
        <v>154</v>
      </c>
      <c r="C14" s="23" t="s">
        <v>129</v>
      </c>
      <c r="D14" s="23" t="s">
        <v>120</v>
      </c>
      <c r="E14" s="23" t="s">
        <v>60</v>
      </c>
      <c r="F14" s="23" t="s">
        <v>70</v>
      </c>
      <c r="G14" s="23" t="s">
        <v>493</v>
      </c>
      <c r="H14" s="23" t="s">
        <v>164</v>
      </c>
      <c r="I14" s="87"/>
      <c r="J14" s="250">
        <v>1298844</v>
      </c>
      <c r="K14" s="250">
        <v>1298844</v>
      </c>
      <c r="L14" s="430">
        <v>1298844</v>
      </c>
      <c r="M14" s="430">
        <v>1298844</v>
      </c>
      <c r="N14" s="193"/>
      <c r="O14" s="193"/>
    </row>
    <row r="15" spans="1:15" ht="70.5" customHeight="1">
      <c r="A15" s="249" t="s">
        <v>287</v>
      </c>
      <c r="B15" s="24" t="s">
        <v>154</v>
      </c>
      <c r="C15" s="24" t="s">
        <v>288</v>
      </c>
      <c r="D15" s="24"/>
      <c r="E15" s="24"/>
      <c r="F15" s="24"/>
      <c r="G15" s="24"/>
      <c r="H15" s="24"/>
      <c r="I15" s="72">
        <f>SUM(I16:I21)</f>
        <v>-635.0999999999999</v>
      </c>
      <c r="J15" s="165">
        <f>SUM(J16:J21)</f>
        <v>21728570.95</v>
      </c>
      <c r="K15" s="165">
        <f>SUM(K16:K21)</f>
        <v>21619393.42</v>
      </c>
      <c r="L15" s="424">
        <f>SUM(L16:L21)</f>
        <v>21728570.95</v>
      </c>
      <c r="M15" s="424">
        <f>SUM(M16:M21)</f>
        <v>21619393.42</v>
      </c>
      <c r="N15" s="193"/>
      <c r="O15" s="193"/>
    </row>
    <row r="16" spans="1:15" ht="94.5">
      <c r="A16" s="66" t="s">
        <v>489</v>
      </c>
      <c r="B16" s="23" t="s">
        <v>154</v>
      </c>
      <c r="C16" s="23" t="s">
        <v>288</v>
      </c>
      <c r="D16" s="23" t="s">
        <v>120</v>
      </c>
      <c r="E16" s="23" t="s">
        <v>60</v>
      </c>
      <c r="F16" s="23" t="s">
        <v>120</v>
      </c>
      <c r="G16" s="23" t="s">
        <v>492</v>
      </c>
      <c r="H16" s="23" t="s">
        <v>164</v>
      </c>
      <c r="I16" s="88">
        <v>446.5</v>
      </c>
      <c r="J16" s="250">
        <v>19682854.39</v>
      </c>
      <c r="K16" s="250">
        <v>19682854.39</v>
      </c>
      <c r="L16" s="430">
        <v>19682854.39</v>
      </c>
      <c r="M16" s="430">
        <v>19682854.39</v>
      </c>
      <c r="N16" s="193"/>
      <c r="O16" s="193"/>
    </row>
    <row r="17" spans="1:15" ht="48.75" customHeight="1">
      <c r="A17" s="66" t="s">
        <v>592</v>
      </c>
      <c r="B17" s="23" t="s">
        <v>154</v>
      </c>
      <c r="C17" s="23" t="s">
        <v>288</v>
      </c>
      <c r="D17" s="23" t="s">
        <v>120</v>
      </c>
      <c r="E17" s="23" t="s">
        <v>60</v>
      </c>
      <c r="F17" s="23" t="s">
        <v>120</v>
      </c>
      <c r="G17" s="23" t="s">
        <v>492</v>
      </c>
      <c r="H17" s="23" t="s">
        <v>165</v>
      </c>
      <c r="I17" s="88">
        <v>-1281.6</v>
      </c>
      <c r="J17" s="143">
        <v>1584458.5599999998</v>
      </c>
      <c r="K17" s="143">
        <f>1575281.03-50000-50000</f>
        <v>1475281.03</v>
      </c>
      <c r="L17" s="426">
        <v>1584458.5599999998</v>
      </c>
      <c r="M17" s="426">
        <f>1575281.03-50000-50000</f>
        <v>1475281.03</v>
      </c>
      <c r="N17" s="193"/>
      <c r="O17" s="193"/>
    </row>
    <row r="18" spans="1:15" ht="50.25" customHeight="1">
      <c r="A18" s="66" t="s">
        <v>1028</v>
      </c>
      <c r="B18" s="23" t="s">
        <v>154</v>
      </c>
      <c r="C18" s="23" t="s">
        <v>288</v>
      </c>
      <c r="D18" s="23" t="s">
        <v>120</v>
      </c>
      <c r="E18" s="23" t="s">
        <v>60</v>
      </c>
      <c r="F18" s="23" t="s">
        <v>120</v>
      </c>
      <c r="G18" s="23" t="s">
        <v>492</v>
      </c>
      <c r="H18" s="23" t="s">
        <v>111</v>
      </c>
      <c r="I18" s="88"/>
      <c r="J18" s="267"/>
      <c r="K18" s="267"/>
      <c r="L18" s="442"/>
      <c r="M18" s="442"/>
      <c r="N18" s="193"/>
      <c r="O18" s="193"/>
    </row>
    <row r="19" spans="1:15" ht="37.5" customHeight="1">
      <c r="A19" s="66" t="s">
        <v>358</v>
      </c>
      <c r="B19" s="23" t="s">
        <v>154</v>
      </c>
      <c r="C19" s="23" t="s">
        <v>288</v>
      </c>
      <c r="D19" s="23" t="s">
        <v>120</v>
      </c>
      <c r="E19" s="23" t="s">
        <v>60</v>
      </c>
      <c r="F19" s="23" t="s">
        <v>120</v>
      </c>
      <c r="G19" s="23" t="s">
        <v>492</v>
      </c>
      <c r="H19" s="23" t="s">
        <v>166</v>
      </c>
      <c r="I19" s="88">
        <v>200</v>
      </c>
      <c r="J19" s="250">
        <v>58000</v>
      </c>
      <c r="K19" s="250">
        <v>58000</v>
      </c>
      <c r="L19" s="430">
        <v>58000</v>
      </c>
      <c r="M19" s="430">
        <v>58000</v>
      </c>
      <c r="N19" s="193"/>
      <c r="O19" s="193"/>
    </row>
    <row r="20" spans="1:15" ht="110.25">
      <c r="A20" s="235" t="s">
        <v>559</v>
      </c>
      <c r="B20" s="141" t="s">
        <v>154</v>
      </c>
      <c r="C20" s="141" t="s">
        <v>288</v>
      </c>
      <c r="D20" s="141">
        <v>11</v>
      </c>
      <c r="E20" s="141" t="s">
        <v>69</v>
      </c>
      <c r="F20" s="141" t="s">
        <v>120</v>
      </c>
      <c r="G20" s="141" t="s">
        <v>494</v>
      </c>
      <c r="H20" s="141" t="s">
        <v>164</v>
      </c>
      <c r="I20" s="172">
        <v>5.3</v>
      </c>
      <c r="J20" s="267">
        <v>399528</v>
      </c>
      <c r="K20" s="267">
        <v>399528</v>
      </c>
      <c r="L20" s="442">
        <v>399528</v>
      </c>
      <c r="M20" s="442">
        <v>399528</v>
      </c>
      <c r="N20" s="193"/>
      <c r="O20" s="193"/>
    </row>
    <row r="21" spans="1:15" ht="63">
      <c r="A21" s="235" t="s">
        <v>601</v>
      </c>
      <c r="B21" s="141" t="s">
        <v>154</v>
      </c>
      <c r="C21" s="141" t="s">
        <v>288</v>
      </c>
      <c r="D21" s="141">
        <v>11</v>
      </c>
      <c r="E21" s="141" t="s">
        <v>69</v>
      </c>
      <c r="F21" s="141" t="s">
        <v>120</v>
      </c>
      <c r="G21" s="141" t="s">
        <v>494</v>
      </c>
      <c r="H21" s="141" t="s">
        <v>165</v>
      </c>
      <c r="I21" s="172">
        <v>-5.3</v>
      </c>
      <c r="J21" s="267">
        <v>3730</v>
      </c>
      <c r="K21" s="267">
        <v>3730</v>
      </c>
      <c r="L21" s="442">
        <v>3730</v>
      </c>
      <c r="M21" s="442">
        <v>3730</v>
      </c>
      <c r="N21" s="193"/>
      <c r="O21" s="193"/>
    </row>
    <row r="22" spans="1:15" ht="15.75">
      <c r="A22" s="249" t="s">
        <v>316</v>
      </c>
      <c r="B22" s="24" t="s">
        <v>154</v>
      </c>
      <c r="C22" s="24" t="s">
        <v>317</v>
      </c>
      <c r="D22" s="24"/>
      <c r="E22" s="24"/>
      <c r="F22" s="24"/>
      <c r="G22" s="24"/>
      <c r="H22" s="24"/>
      <c r="I22" s="107"/>
      <c r="J22" s="255">
        <f>SUM(J23:J48)</f>
        <v>16186186.22</v>
      </c>
      <c r="K22" s="255">
        <f>SUM(K23:K48)</f>
        <v>12622269.77</v>
      </c>
      <c r="L22" s="443">
        <f>SUM(L23:L48)</f>
        <v>16186186.22</v>
      </c>
      <c r="M22" s="443">
        <f>SUM(M23:M48)</f>
        <v>13878769.77</v>
      </c>
      <c r="N22" s="193"/>
      <c r="O22" s="193"/>
    </row>
    <row r="23" spans="1:15" ht="110.25">
      <c r="A23" s="280" t="s">
        <v>974</v>
      </c>
      <c r="B23" s="141" t="s">
        <v>154</v>
      </c>
      <c r="C23" s="141" t="s">
        <v>317</v>
      </c>
      <c r="D23" s="141" t="s">
        <v>120</v>
      </c>
      <c r="E23" s="141" t="s">
        <v>144</v>
      </c>
      <c r="F23" s="141" t="s">
        <v>70</v>
      </c>
      <c r="G23" s="141" t="s">
        <v>562</v>
      </c>
      <c r="H23" s="141" t="s">
        <v>164</v>
      </c>
      <c r="I23" s="268"/>
      <c r="J23" s="250">
        <v>3756619</v>
      </c>
      <c r="K23" s="250">
        <v>3756619</v>
      </c>
      <c r="L23" s="430">
        <v>3756619</v>
      </c>
      <c r="M23" s="430">
        <v>3756619</v>
      </c>
      <c r="N23" s="193"/>
      <c r="O23" s="193"/>
    </row>
    <row r="24" spans="1:13" ht="86.25" customHeight="1">
      <c r="A24" s="280" t="s">
        <v>972</v>
      </c>
      <c r="B24" s="141" t="s">
        <v>154</v>
      </c>
      <c r="C24" s="141" t="s">
        <v>317</v>
      </c>
      <c r="D24" s="141" t="s">
        <v>120</v>
      </c>
      <c r="E24" s="141" t="s">
        <v>144</v>
      </c>
      <c r="F24" s="141" t="s">
        <v>70</v>
      </c>
      <c r="G24" s="141" t="s">
        <v>562</v>
      </c>
      <c r="H24" s="141" t="s">
        <v>165</v>
      </c>
      <c r="I24" s="172"/>
      <c r="J24" s="250">
        <v>3895158.76</v>
      </c>
      <c r="K24" s="250">
        <f>3725609.17-50000</f>
        <v>3675609.17</v>
      </c>
      <c r="L24" s="430">
        <v>3895158.76</v>
      </c>
      <c r="M24" s="430">
        <f>3725609.17-50000</f>
        <v>3675609.17</v>
      </c>
    </row>
    <row r="25" spans="1:13" ht="47.25">
      <c r="A25" s="280" t="s">
        <v>973</v>
      </c>
      <c r="B25" s="141" t="s">
        <v>154</v>
      </c>
      <c r="C25" s="141" t="s">
        <v>317</v>
      </c>
      <c r="D25" s="141" t="s">
        <v>120</v>
      </c>
      <c r="E25" s="141" t="s">
        <v>144</v>
      </c>
      <c r="F25" s="141" t="s">
        <v>70</v>
      </c>
      <c r="G25" s="141" t="s">
        <v>562</v>
      </c>
      <c r="H25" s="141" t="s">
        <v>166</v>
      </c>
      <c r="I25" s="268"/>
      <c r="J25" s="146">
        <v>132000</v>
      </c>
      <c r="K25" s="146">
        <v>132000</v>
      </c>
      <c r="L25" s="444">
        <v>132000</v>
      </c>
      <c r="M25" s="444">
        <v>132000</v>
      </c>
    </row>
    <row r="26" spans="1:13" ht="63">
      <c r="A26" s="235" t="s">
        <v>600</v>
      </c>
      <c r="B26" s="141" t="s">
        <v>154</v>
      </c>
      <c r="C26" s="141" t="s">
        <v>317</v>
      </c>
      <c r="D26" s="141">
        <v>11</v>
      </c>
      <c r="E26" s="141" t="s">
        <v>69</v>
      </c>
      <c r="F26" s="141" t="s">
        <v>120</v>
      </c>
      <c r="G26" s="141" t="s">
        <v>495</v>
      </c>
      <c r="H26" s="141" t="s">
        <v>165</v>
      </c>
      <c r="I26" s="172">
        <v>-13.8</v>
      </c>
      <c r="J26" s="250">
        <v>10666.5</v>
      </c>
      <c r="K26" s="250">
        <v>10666.5</v>
      </c>
      <c r="L26" s="430">
        <v>10666.5</v>
      </c>
      <c r="M26" s="430">
        <v>10666.5</v>
      </c>
    </row>
    <row r="27" spans="1:14" ht="62.25" customHeight="1">
      <c r="A27" s="235" t="s">
        <v>598</v>
      </c>
      <c r="B27" s="141" t="s">
        <v>154</v>
      </c>
      <c r="C27" s="141" t="s">
        <v>317</v>
      </c>
      <c r="D27" s="141" t="s">
        <v>120</v>
      </c>
      <c r="E27" s="141" t="s">
        <v>60</v>
      </c>
      <c r="F27" s="141" t="s">
        <v>242</v>
      </c>
      <c r="G27" s="141" t="s">
        <v>496</v>
      </c>
      <c r="H27" s="141" t="s">
        <v>165</v>
      </c>
      <c r="I27" s="172">
        <v>-360</v>
      </c>
      <c r="J27" s="143">
        <v>562874.4</v>
      </c>
      <c r="K27" s="143">
        <v>547074</v>
      </c>
      <c r="L27" s="426">
        <v>562874.4</v>
      </c>
      <c r="M27" s="426">
        <v>547074</v>
      </c>
      <c r="N27" s="199"/>
    </row>
    <row r="28" spans="1:14" ht="72" customHeight="1">
      <c r="A28" s="235" t="s">
        <v>597</v>
      </c>
      <c r="B28" s="141" t="s">
        <v>154</v>
      </c>
      <c r="C28" s="141" t="s">
        <v>317</v>
      </c>
      <c r="D28" s="141" t="s">
        <v>120</v>
      </c>
      <c r="E28" s="141" t="s">
        <v>60</v>
      </c>
      <c r="F28" s="141" t="s">
        <v>120</v>
      </c>
      <c r="G28" s="141" t="s">
        <v>497</v>
      </c>
      <c r="H28" s="141" t="s">
        <v>165</v>
      </c>
      <c r="I28" s="172"/>
      <c r="J28" s="250">
        <v>296800</v>
      </c>
      <c r="K28" s="250">
        <v>296800</v>
      </c>
      <c r="L28" s="430">
        <v>296800</v>
      </c>
      <c r="M28" s="430">
        <v>296800</v>
      </c>
      <c r="N28" s="199"/>
    </row>
    <row r="29" spans="1:13" ht="47.25">
      <c r="A29" s="235" t="s">
        <v>621</v>
      </c>
      <c r="B29" s="261">
        <v>900</v>
      </c>
      <c r="C29" s="262" t="s">
        <v>317</v>
      </c>
      <c r="D29" s="262" t="s">
        <v>120</v>
      </c>
      <c r="E29" s="262" t="s">
        <v>60</v>
      </c>
      <c r="F29" s="262" t="s">
        <v>120</v>
      </c>
      <c r="G29" s="262" t="s">
        <v>1339</v>
      </c>
      <c r="H29" s="262" t="s">
        <v>111</v>
      </c>
      <c r="I29" s="172"/>
      <c r="J29" s="250">
        <v>9000</v>
      </c>
      <c r="K29" s="250">
        <v>9000</v>
      </c>
      <c r="L29" s="430">
        <v>9000</v>
      </c>
      <c r="M29" s="430">
        <v>9000</v>
      </c>
    </row>
    <row r="30" spans="1:13" ht="79.5" customHeight="1">
      <c r="A30" s="237" t="s">
        <v>614</v>
      </c>
      <c r="B30" s="141" t="s">
        <v>154</v>
      </c>
      <c r="C30" s="141" t="s">
        <v>317</v>
      </c>
      <c r="D30" s="141" t="s">
        <v>70</v>
      </c>
      <c r="E30" s="141" t="s">
        <v>69</v>
      </c>
      <c r="F30" s="141" t="s">
        <v>70</v>
      </c>
      <c r="G30" s="141" t="s">
        <v>498</v>
      </c>
      <c r="H30" s="141" t="s">
        <v>165</v>
      </c>
      <c r="I30" s="172"/>
      <c r="J30" s="146">
        <v>700000</v>
      </c>
      <c r="K30" s="146">
        <v>700000</v>
      </c>
      <c r="L30" s="444">
        <v>700000</v>
      </c>
      <c r="M30" s="444">
        <v>700000</v>
      </c>
    </row>
    <row r="31" spans="1:13" ht="79.5" customHeight="1">
      <c r="A31" s="237" t="s">
        <v>667</v>
      </c>
      <c r="B31" s="141" t="s">
        <v>154</v>
      </c>
      <c r="C31" s="141" t="s">
        <v>317</v>
      </c>
      <c r="D31" s="141" t="s">
        <v>61</v>
      </c>
      <c r="E31" s="141" t="s">
        <v>60</v>
      </c>
      <c r="F31" s="141" t="s">
        <v>120</v>
      </c>
      <c r="G31" s="141" t="s">
        <v>682</v>
      </c>
      <c r="H31" s="141" t="s">
        <v>165</v>
      </c>
      <c r="I31" s="172"/>
      <c r="J31" s="143">
        <v>1484164</v>
      </c>
      <c r="K31" s="143">
        <v>227664</v>
      </c>
      <c r="L31" s="426">
        <v>1484164</v>
      </c>
      <c r="M31" s="426">
        <v>1484164</v>
      </c>
    </row>
    <row r="32" spans="1:13" ht="114" customHeight="1">
      <c r="A32" s="235" t="s">
        <v>958</v>
      </c>
      <c r="B32" s="141" t="s">
        <v>154</v>
      </c>
      <c r="C32" s="141" t="s">
        <v>317</v>
      </c>
      <c r="D32" s="141" t="s">
        <v>120</v>
      </c>
      <c r="E32" s="141" t="s">
        <v>69</v>
      </c>
      <c r="F32" s="141" t="s">
        <v>70</v>
      </c>
      <c r="G32" s="141" t="s">
        <v>499</v>
      </c>
      <c r="H32" s="141" t="s">
        <v>165</v>
      </c>
      <c r="I32" s="172"/>
      <c r="J32" s="250">
        <v>81200</v>
      </c>
      <c r="K32" s="250">
        <v>81200</v>
      </c>
      <c r="L32" s="430">
        <v>81200</v>
      </c>
      <c r="M32" s="430">
        <v>81200</v>
      </c>
    </row>
    <row r="33" spans="1:13" ht="48.75" customHeight="1">
      <c r="A33" s="263" t="s">
        <v>625</v>
      </c>
      <c r="B33" s="141" t="s">
        <v>154</v>
      </c>
      <c r="C33" s="141" t="s">
        <v>317</v>
      </c>
      <c r="D33" s="141" t="s">
        <v>163</v>
      </c>
      <c r="E33" s="141" t="s">
        <v>119</v>
      </c>
      <c r="F33" s="141" t="s">
        <v>500</v>
      </c>
      <c r="G33" s="141" t="s">
        <v>501</v>
      </c>
      <c r="H33" s="141" t="s">
        <v>166</v>
      </c>
      <c r="I33" s="172"/>
      <c r="J33" s="250">
        <v>44022</v>
      </c>
      <c r="K33" s="250">
        <v>44022</v>
      </c>
      <c r="L33" s="430">
        <v>44022</v>
      </c>
      <c r="M33" s="430">
        <v>44022</v>
      </c>
    </row>
    <row r="34" spans="1:13" ht="95.25" customHeight="1">
      <c r="A34" s="263" t="s">
        <v>1007</v>
      </c>
      <c r="B34" s="141" t="s">
        <v>154</v>
      </c>
      <c r="C34" s="141" t="s">
        <v>317</v>
      </c>
      <c r="D34" s="141" t="s">
        <v>120</v>
      </c>
      <c r="E34" s="141" t="s">
        <v>233</v>
      </c>
      <c r="F34" s="141" t="s">
        <v>70</v>
      </c>
      <c r="G34" s="141" t="s">
        <v>502</v>
      </c>
      <c r="H34" s="141" t="s">
        <v>165</v>
      </c>
      <c r="I34" s="172"/>
      <c r="J34" s="250">
        <v>292660.23</v>
      </c>
      <c r="K34" s="143">
        <f>217657.3-27148.08</f>
        <v>190509.21999999997</v>
      </c>
      <c r="L34" s="430">
        <v>292660.23</v>
      </c>
      <c r="M34" s="426">
        <f>217657.3-27148.08</f>
        <v>190509.21999999997</v>
      </c>
    </row>
    <row r="35" spans="1:13" ht="48.75" customHeight="1">
      <c r="A35" s="235" t="s">
        <v>604</v>
      </c>
      <c r="B35" s="141" t="s">
        <v>154</v>
      </c>
      <c r="C35" s="141" t="s">
        <v>317</v>
      </c>
      <c r="D35" s="141" t="s">
        <v>61</v>
      </c>
      <c r="E35" s="141" t="s">
        <v>60</v>
      </c>
      <c r="F35" s="141" t="s">
        <v>120</v>
      </c>
      <c r="G35" s="141" t="s">
        <v>647</v>
      </c>
      <c r="H35" s="141" t="s">
        <v>165</v>
      </c>
      <c r="I35" s="172"/>
      <c r="J35" s="143">
        <v>115836</v>
      </c>
      <c r="K35" s="143">
        <v>115836</v>
      </c>
      <c r="L35" s="426">
        <v>115836</v>
      </c>
      <c r="M35" s="426">
        <v>115836</v>
      </c>
    </row>
    <row r="36" spans="1:13" ht="63" customHeight="1">
      <c r="A36" s="235" t="s">
        <v>639</v>
      </c>
      <c r="B36" s="141" t="s">
        <v>154</v>
      </c>
      <c r="C36" s="141" t="s">
        <v>317</v>
      </c>
      <c r="D36" s="141" t="s">
        <v>163</v>
      </c>
      <c r="E36" s="141" t="s">
        <v>119</v>
      </c>
      <c r="F36" s="141" t="s">
        <v>500</v>
      </c>
      <c r="G36" s="141" t="s">
        <v>640</v>
      </c>
      <c r="H36" s="141" t="s">
        <v>165</v>
      </c>
      <c r="I36" s="172"/>
      <c r="J36" s="143">
        <v>119659.25</v>
      </c>
      <c r="K36" s="143">
        <v>119659.25</v>
      </c>
      <c r="L36" s="426">
        <v>119659.25</v>
      </c>
      <c r="M36" s="426">
        <v>119659.25</v>
      </c>
    </row>
    <row r="37" spans="1:13" ht="48" customHeight="1">
      <c r="A37" s="235" t="s">
        <v>922</v>
      </c>
      <c r="B37" s="141" t="s">
        <v>154</v>
      </c>
      <c r="C37" s="141" t="s">
        <v>317</v>
      </c>
      <c r="D37" s="141" t="s">
        <v>163</v>
      </c>
      <c r="E37" s="141" t="s">
        <v>119</v>
      </c>
      <c r="F37" s="141" t="s">
        <v>500</v>
      </c>
      <c r="G37" s="141" t="s">
        <v>971</v>
      </c>
      <c r="H37" s="141" t="s">
        <v>165</v>
      </c>
      <c r="I37" s="172"/>
      <c r="J37" s="143">
        <v>816533.33</v>
      </c>
      <c r="K37" s="143">
        <v>816533.33</v>
      </c>
      <c r="L37" s="426">
        <v>816533.33</v>
      </c>
      <c r="M37" s="426">
        <v>816533.33</v>
      </c>
    </row>
    <row r="38" spans="1:13" ht="63" customHeight="1">
      <c r="A38" s="237" t="s">
        <v>986</v>
      </c>
      <c r="B38" s="141" t="s">
        <v>154</v>
      </c>
      <c r="C38" s="141" t="s">
        <v>317</v>
      </c>
      <c r="D38" s="141">
        <v>11</v>
      </c>
      <c r="E38" s="141" t="s">
        <v>60</v>
      </c>
      <c r="F38" s="141" t="s">
        <v>120</v>
      </c>
      <c r="G38" s="141" t="s">
        <v>697</v>
      </c>
      <c r="H38" s="141" t="s">
        <v>164</v>
      </c>
      <c r="I38" s="172"/>
      <c r="J38" s="143">
        <v>15000</v>
      </c>
      <c r="K38" s="143">
        <v>15000</v>
      </c>
      <c r="L38" s="426">
        <v>15000</v>
      </c>
      <c r="M38" s="426">
        <v>15000</v>
      </c>
    </row>
    <row r="39" spans="1:13" ht="72" customHeight="1">
      <c r="A39" s="237" t="s">
        <v>987</v>
      </c>
      <c r="B39" s="141" t="s">
        <v>154</v>
      </c>
      <c r="C39" s="141" t="s">
        <v>317</v>
      </c>
      <c r="D39" s="141">
        <v>11</v>
      </c>
      <c r="E39" s="141" t="s">
        <v>60</v>
      </c>
      <c r="F39" s="141" t="s">
        <v>120</v>
      </c>
      <c r="G39" s="141" t="s">
        <v>988</v>
      </c>
      <c r="H39" s="141" t="s">
        <v>165</v>
      </c>
      <c r="I39" s="172"/>
      <c r="J39" s="143">
        <v>5000</v>
      </c>
      <c r="K39" s="143">
        <v>5000</v>
      </c>
      <c r="L39" s="426">
        <v>5000</v>
      </c>
      <c r="M39" s="426">
        <v>5000</v>
      </c>
    </row>
    <row r="40" spans="1:13" ht="62.25" customHeight="1">
      <c r="A40" s="237" t="s">
        <v>954</v>
      </c>
      <c r="B40" s="141" t="s">
        <v>154</v>
      </c>
      <c r="C40" s="141" t="s">
        <v>317</v>
      </c>
      <c r="D40" s="141">
        <v>11</v>
      </c>
      <c r="E40" s="141" t="s">
        <v>60</v>
      </c>
      <c r="F40" s="141" t="s">
        <v>120</v>
      </c>
      <c r="G40" s="141" t="s">
        <v>959</v>
      </c>
      <c r="H40" s="141" t="s">
        <v>165</v>
      </c>
      <c r="I40" s="172"/>
      <c r="J40" s="143">
        <v>37400</v>
      </c>
      <c r="K40" s="143">
        <v>37400</v>
      </c>
      <c r="L40" s="426">
        <v>37400</v>
      </c>
      <c r="M40" s="426">
        <v>37400</v>
      </c>
    </row>
    <row r="41" spans="1:13" ht="54.75" customHeight="1">
      <c r="A41" s="235" t="s">
        <v>1073</v>
      </c>
      <c r="B41" s="141" t="s">
        <v>154</v>
      </c>
      <c r="C41" s="141" t="s">
        <v>317</v>
      </c>
      <c r="D41" s="141">
        <v>11</v>
      </c>
      <c r="E41" s="141" t="s">
        <v>69</v>
      </c>
      <c r="F41" s="141" t="s">
        <v>120</v>
      </c>
      <c r="G41" s="141" t="s">
        <v>698</v>
      </c>
      <c r="H41" s="141" t="s">
        <v>165</v>
      </c>
      <c r="I41" s="172"/>
      <c r="J41" s="143">
        <v>0</v>
      </c>
      <c r="K41" s="143">
        <v>0</v>
      </c>
      <c r="L41" s="426">
        <v>0</v>
      </c>
      <c r="M41" s="426">
        <v>0</v>
      </c>
    </row>
    <row r="42" spans="1:13" ht="66" customHeight="1">
      <c r="A42" s="235" t="s">
        <v>1032</v>
      </c>
      <c r="B42" s="141" t="s">
        <v>154</v>
      </c>
      <c r="C42" s="141" t="s">
        <v>317</v>
      </c>
      <c r="D42" s="141">
        <v>11</v>
      </c>
      <c r="E42" s="141" t="s">
        <v>69</v>
      </c>
      <c r="F42" s="141" t="s">
        <v>120</v>
      </c>
      <c r="G42" s="141" t="s">
        <v>1021</v>
      </c>
      <c r="H42" s="141" t="s">
        <v>165</v>
      </c>
      <c r="I42" s="172"/>
      <c r="J42" s="146">
        <v>0</v>
      </c>
      <c r="K42" s="146">
        <v>0</v>
      </c>
      <c r="L42" s="444">
        <v>0</v>
      </c>
      <c r="M42" s="444">
        <v>0</v>
      </c>
    </row>
    <row r="43" spans="1:13" ht="63">
      <c r="A43" s="235" t="s">
        <v>766</v>
      </c>
      <c r="B43" s="141" t="s">
        <v>154</v>
      </c>
      <c r="C43" s="141" t="s">
        <v>317</v>
      </c>
      <c r="D43" s="141" t="s">
        <v>163</v>
      </c>
      <c r="E43" s="141" t="s">
        <v>119</v>
      </c>
      <c r="F43" s="141" t="s">
        <v>500</v>
      </c>
      <c r="G43" s="141" t="s">
        <v>767</v>
      </c>
      <c r="H43" s="141" t="s">
        <v>165</v>
      </c>
      <c r="I43" s="172"/>
      <c r="J43" s="143">
        <f>2000000+259592.73+63800.01+9000-300000-69684.75</f>
        <v>1962707.9899999998</v>
      </c>
      <c r="K43" s="143"/>
      <c r="L43" s="426">
        <f>2000000+259592.73+63800.01+9000-300000-69684.75</f>
        <v>1962707.9899999998</v>
      </c>
      <c r="M43" s="426"/>
    </row>
    <row r="44" spans="1:13" ht="160.5" customHeight="1">
      <c r="A44" s="235" t="s">
        <v>624</v>
      </c>
      <c r="B44" s="141" t="s">
        <v>154</v>
      </c>
      <c r="C44" s="141" t="s">
        <v>317</v>
      </c>
      <c r="D44" s="141" t="s">
        <v>163</v>
      </c>
      <c r="E44" s="141" t="s">
        <v>119</v>
      </c>
      <c r="F44" s="141" t="s">
        <v>500</v>
      </c>
      <c r="G44" s="141" t="s">
        <v>623</v>
      </c>
      <c r="H44" s="141" t="s">
        <v>166</v>
      </c>
      <c r="I44" s="269">
        <f>I45</f>
        <v>-30</v>
      </c>
      <c r="J44" s="146"/>
      <c r="K44" s="146"/>
      <c r="L44" s="444"/>
      <c r="M44" s="444"/>
    </row>
    <row r="45" spans="1:13" ht="96.75" customHeight="1">
      <c r="A45" s="235" t="s">
        <v>1025</v>
      </c>
      <c r="B45" s="141" t="s">
        <v>154</v>
      </c>
      <c r="C45" s="141" t="s">
        <v>317</v>
      </c>
      <c r="D45" s="141">
        <v>11</v>
      </c>
      <c r="E45" s="141" t="s">
        <v>233</v>
      </c>
      <c r="F45" s="141" t="s">
        <v>70</v>
      </c>
      <c r="G45" s="141" t="s">
        <v>1027</v>
      </c>
      <c r="H45" s="141" t="s">
        <v>164</v>
      </c>
      <c r="I45" s="269">
        <f>I46</f>
        <v>-30</v>
      </c>
      <c r="J45" s="250">
        <v>1768804.76</v>
      </c>
      <c r="K45" s="250">
        <v>1768804.76</v>
      </c>
      <c r="L45" s="430">
        <v>1768804.76</v>
      </c>
      <c r="M45" s="430">
        <v>1768804.76</v>
      </c>
    </row>
    <row r="46" spans="1:13" ht="63">
      <c r="A46" s="235" t="s">
        <v>1024</v>
      </c>
      <c r="B46" s="141" t="s">
        <v>154</v>
      </c>
      <c r="C46" s="141" t="s">
        <v>317</v>
      </c>
      <c r="D46" s="141">
        <v>11</v>
      </c>
      <c r="E46" s="141" t="s">
        <v>233</v>
      </c>
      <c r="F46" s="141" t="s">
        <v>70</v>
      </c>
      <c r="G46" s="141" t="s">
        <v>1027</v>
      </c>
      <c r="H46" s="141" t="s">
        <v>165</v>
      </c>
      <c r="I46" s="172">
        <v>-30</v>
      </c>
      <c r="J46" s="225">
        <v>80080</v>
      </c>
      <c r="K46" s="250">
        <v>72872.54</v>
      </c>
      <c r="L46" s="445">
        <v>80080</v>
      </c>
      <c r="M46" s="430">
        <v>72872.54</v>
      </c>
    </row>
    <row r="47" spans="1:13" ht="47.25">
      <c r="A47" s="235" t="s">
        <v>1026</v>
      </c>
      <c r="B47" s="141" t="s">
        <v>154</v>
      </c>
      <c r="C47" s="141" t="s">
        <v>317</v>
      </c>
      <c r="D47" s="141">
        <v>11</v>
      </c>
      <c r="E47" s="141" t="s">
        <v>233</v>
      </c>
      <c r="F47" s="141" t="s">
        <v>70</v>
      </c>
      <c r="G47" s="141" t="s">
        <v>1027</v>
      </c>
      <c r="H47" s="141" t="s">
        <v>166</v>
      </c>
      <c r="I47" s="145" t="e">
        <f>I51+I62</f>
        <v>#REF!</v>
      </c>
      <c r="J47" s="146"/>
      <c r="K47" s="146"/>
      <c r="L47" s="444"/>
      <c r="M47" s="444"/>
    </row>
    <row r="48" spans="1:13" ht="78.75">
      <c r="A48" s="235" t="s">
        <v>1046</v>
      </c>
      <c r="B48" s="141" t="s">
        <v>154</v>
      </c>
      <c r="C48" s="141" t="s">
        <v>317</v>
      </c>
      <c r="D48" s="141" t="s">
        <v>163</v>
      </c>
      <c r="E48" s="141" t="s">
        <v>119</v>
      </c>
      <c r="F48" s="141" t="s">
        <v>500</v>
      </c>
      <c r="G48" s="141" t="s">
        <v>1045</v>
      </c>
      <c r="H48" s="141" t="s">
        <v>165</v>
      </c>
      <c r="I48" s="145"/>
      <c r="J48" s="146"/>
      <c r="K48" s="146"/>
      <c r="L48" s="444"/>
      <c r="M48" s="444"/>
    </row>
    <row r="49" spans="1:13" ht="31.5">
      <c r="A49" s="249" t="s">
        <v>95</v>
      </c>
      <c r="B49" s="24" t="s">
        <v>154</v>
      </c>
      <c r="C49" s="24" t="s">
        <v>96</v>
      </c>
      <c r="D49" s="24"/>
      <c r="E49" s="24"/>
      <c r="F49" s="24"/>
      <c r="G49" s="24"/>
      <c r="H49" s="24"/>
      <c r="I49" s="145"/>
      <c r="J49" s="165">
        <f aca="true" t="shared" si="0" ref="J49:M50">J50</f>
        <v>350000</v>
      </c>
      <c r="K49" s="165">
        <f t="shared" si="0"/>
        <v>350000</v>
      </c>
      <c r="L49" s="424">
        <f t="shared" si="0"/>
        <v>350000</v>
      </c>
      <c r="M49" s="424">
        <f t="shared" si="0"/>
        <v>350000</v>
      </c>
    </row>
    <row r="50" spans="1:13" ht="51" customHeight="1">
      <c r="A50" s="249" t="s">
        <v>252</v>
      </c>
      <c r="B50" s="24" t="s">
        <v>154</v>
      </c>
      <c r="C50" s="24" t="s">
        <v>97</v>
      </c>
      <c r="D50" s="24"/>
      <c r="E50" s="24"/>
      <c r="F50" s="24"/>
      <c r="G50" s="24"/>
      <c r="H50" s="24"/>
      <c r="I50" s="87"/>
      <c r="J50" s="165">
        <f t="shared" si="0"/>
        <v>350000</v>
      </c>
      <c r="K50" s="165">
        <f t="shared" si="0"/>
        <v>350000</v>
      </c>
      <c r="L50" s="424">
        <f t="shared" si="0"/>
        <v>350000</v>
      </c>
      <c r="M50" s="424">
        <f t="shared" si="0"/>
        <v>350000</v>
      </c>
    </row>
    <row r="51" spans="1:13" ht="63">
      <c r="A51" s="66" t="s">
        <v>599</v>
      </c>
      <c r="B51" s="23" t="s">
        <v>154</v>
      </c>
      <c r="C51" s="23" t="s">
        <v>97</v>
      </c>
      <c r="D51" s="23">
        <v>11</v>
      </c>
      <c r="E51" s="23" t="s">
        <v>69</v>
      </c>
      <c r="F51" s="23" t="s">
        <v>120</v>
      </c>
      <c r="G51" s="23" t="s">
        <v>504</v>
      </c>
      <c r="H51" s="23" t="s">
        <v>165</v>
      </c>
      <c r="I51" s="72" t="e">
        <f>I52+#REF!+#REF!+#REF!</f>
        <v>#REF!</v>
      </c>
      <c r="J51" s="143">
        <v>350000</v>
      </c>
      <c r="K51" s="143">
        <v>350000</v>
      </c>
      <c r="L51" s="426">
        <v>350000</v>
      </c>
      <c r="M51" s="426">
        <v>350000</v>
      </c>
    </row>
    <row r="52" spans="1:13" ht="15.75">
      <c r="A52" s="249" t="s">
        <v>98</v>
      </c>
      <c r="B52" s="24" t="s">
        <v>154</v>
      </c>
      <c r="C52" s="24" t="s">
        <v>99</v>
      </c>
      <c r="D52" s="24"/>
      <c r="E52" s="24"/>
      <c r="F52" s="24"/>
      <c r="G52" s="24"/>
      <c r="H52" s="24"/>
      <c r="I52" s="88">
        <v>-71.6</v>
      </c>
      <c r="J52" s="255">
        <f>J53+J56+J70</f>
        <v>8960576.8</v>
      </c>
      <c r="K52" s="255">
        <f>K53+K56+K70</f>
        <v>8890576.8</v>
      </c>
      <c r="L52" s="443">
        <f>L53+L56+L70</f>
        <v>8960576.8</v>
      </c>
      <c r="M52" s="443">
        <f>M53+M56+M70</f>
        <v>8890576.8</v>
      </c>
    </row>
    <row r="53" spans="1:13" ht="25.5" customHeight="1">
      <c r="A53" s="249" t="s">
        <v>690</v>
      </c>
      <c r="B53" s="24" t="s">
        <v>154</v>
      </c>
      <c r="C53" s="24" t="s">
        <v>689</v>
      </c>
      <c r="D53" s="24"/>
      <c r="E53" s="24"/>
      <c r="F53" s="24"/>
      <c r="G53" s="24"/>
      <c r="H53" s="24"/>
      <c r="I53" s="88"/>
      <c r="J53" s="255">
        <f>J54+J55</f>
        <v>42939</v>
      </c>
      <c r="K53" s="255">
        <f>K54+K55</f>
        <v>42939</v>
      </c>
      <c r="L53" s="443">
        <f>L54+L55</f>
        <v>42939</v>
      </c>
      <c r="M53" s="443">
        <f>M54+M55</f>
        <v>42939</v>
      </c>
    </row>
    <row r="54" spans="1:13" ht="157.5">
      <c r="A54" s="235" t="s">
        <v>612</v>
      </c>
      <c r="B54" s="141" t="s">
        <v>154</v>
      </c>
      <c r="C54" s="141" t="s">
        <v>689</v>
      </c>
      <c r="D54" s="141" t="s">
        <v>163</v>
      </c>
      <c r="E54" s="141" t="s">
        <v>119</v>
      </c>
      <c r="F54" s="141" t="s">
        <v>500</v>
      </c>
      <c r="G54" s="141" t="s">
        <v>691</v>
      </c>
      <c r="H54" s="141" t="s">
        <v>165</v>
      </c>
      <c r="I54" s="172"/>
      <c r="J54" s="146">
        <v>42939</v>
      </c>
      <c r="K54" s="146">
        <v>42939</v>
      </c>
      <c r="L54" s="444">
        <v>42939</v>
      </c>
      <c r="M54" s="444">
        <v>42939</v>
      </c>
    </row>
    <row r="55" spans="1:13" ht="157.5">
      <c r="A55" s="235" t="s">
        <v>613</v>
      </c>
      <c r="B55" s="141" t="s">
        <v>154</v>
      </c>
      <c r="C55" s="141" t="s">
        <v>689</v>
      </c>
      <c r="D55" s="141" t="s">
        <v>163</v>
      </c>
      <c r="E55" s="141" t="s">
        <v>119</v>
      </c>
      <c r="F55" s="141" t="s">
        <v>500</v>
      </c>
      <c r="G55" s="141" t="s">
        <v>750</v>
      </c>
      <c r="H55" s="141" t="s">
        <v>165</v>
      </c>
      <c r="I55" s="172"/>
      <c r="J55" s="146">
        <v>0</v>
      </c>
      <c r="K55" s="146">
        <v>0</v>
      </c>
      <c r="L55" s="444">
        <v>0</v>
      </c>
      <c r="M55" s="444">
        <v>0</v>
      </c>
    </row>
    <row r="56" spans="1:13" ht="29.25" customHeight="1">
      <c r="A56" s="249" t="s">
        <v>56</v>
      </c>
      <c r="B56" s="24" t="s">
        <v>154</v>
      </c>
      <c r="C56" s="24" t="s">
        <v>100</v>
      </c>
      <c r="D56" s="24"/>
      <c r="E56" s="24"/>
      <c r="F56" s="24"/>
      <c r="G56" s="24"/>
      <c r="H56" s="24"/>
      <c r="I56" s="88"/>
      <c r="J56" s="165">
        <f>SUM(J57:J69)</f>
        <v>8159637.800000001</v>
      </c>
      <c r="K56" s="165">
        <f>SUM(K57:K69)</f>
        <v>8159637.800000001</v>
      </c>
      <c r="L56" s="424">
        <f>SUM(L57:L69)</f>
        <v>8159637.800000001</v>
      </c>
      <c r="M56" s="424">
        <f>SUM(M57:M69)</f>
        <v>8159637.800000001</v>
      </c>
    </row>
    <row r="57" spans="1:13" ht="32.25" customHeight="1">
      <c r="A57" s="281" t="s">
        <v>913</v>
      </c>
      <c r="B57" s="23" t="s">
        <v>154</v>
      </c>
      <c r="C57" s="23" t="s">
        <v>100</v>
      </c>
      <c r="D57" s="23" t="s">
        <v>242</v>
      </c>
      <c r="E57" s="23" t="s">
        <v>69</v>
      </c>
      <c r="F57" s="23" t="s">
        <v>70</v>
      </c>
      <c r="G57" s="23" t="s">
        <v>505</v>
      </c>
      <c r="H57" s="23" t="s">
        <v>165</v>
      </c>
      <c r="I57" s="88"/>
      <c r="J57" s="143">
        <v>3105606.06</v>
      </c>
      <c r="K57" s="143">
        <v>3105606.06</v>
      </c>
      <c r="L57" s="426">
        <v>3105606.06</v>
      </c>
      <c r="M57" s="426">
        <v>3105606.06</v>
      </c>
    </row>
    <row r="58" spans="1:13" ht="48.75" customHeight="1">
      <c r="A58" s="281" t="s">
        <v>914</v>
      </c>
      <c r="B58" s="23" t="s">
        <v>154</v>
      </c>
      <c r="C58" s="23" t="s">
        <v>100</v>
      </c>
      <c r="D58" s="23" t="s">
        <v>242</v>
      </c>
      <c r="E58" s="23" t="s">
        <v>69</v>
      </c>
      <c r="F58" s="23" t="s">
        <v>70</v>
      </c>
      <c r="G58" s="23" t="s">
        <v>960</v>
      </c>
      <c r="H58" s="23" t="s">
        <v>165</v>
      </c>
      <c r="I58" s="88"/>
      <c r="J58" s="143">
        <v>4844031.74</v>
      </c>
      <c r="K58" s="143">
        <v>4844031.74</v>
      </c>
      <c r="L58" s="426">
        <v>4844031.74</v>
      </c>
      <c r="M58" s="426">
        <v>4844031.74</v>
      </c>
    </row>
    <row r="59" spans="1:13" ht="51" customHeight="1">
      <c r="A59" s="281" t="s">
        <v>1258</v>
      </c>
      <c r="B59" s="23" t="s">
        <v>154</v>
      </c>
      <c r="C59" s="23" t="s">
        <v>100</v>
      </c>
      <c r="D59" s="23" t="s">
        <v>242</v>
      </c>
      <c r="E59" s="23" t="s">
        <v>69</v>
      </c>
      <c r="F59" s="23" t="s">
        <v>70</v>
      </c>
      <c r="G59" s="23" t="s">
        <v>960</v>
      </c>
      <c r="H59" s="23" t="s">
        <v>982</v>
      </c>
      <c r="I59" s="88"/>
      <c r="J59" s="143">
        <v>0</v>
      </c>
      <c r="K59" s="143">
        <v>0</v>
      </c>
      <c r="L59" s="426">
        <v>0</v>
      </c>
      <c r="M59" s="426">
        <v>0</v>
      </c>
    </row>
    <row r="60" spans="1:13" ht="51" customHeight="1">
      <c r="A60" s="281" t="s">
        <v>930</v>
      </c>
      <c r="B60" s="23" t="s">
        <v>154</v>
      </c>
      <c r="C60" s="23" t="s">
        <v>100</v>
      </c>
      <c r="D60" s="23" t="s">
        <v>242</v>
      </c>
      <c r="E60" s="23" t="s">
        <v>69</v>
      </c>
      <c r="F60" s="23" t="s">
        <v>70</v>
      </c>
      <c r="G60" s="23" t="s">
        <v>961</v>
      </c>
      <c r="H60" s="23" t="s">
        <v>165</v>
      </c>
      <c r="I60" s="88"/>
      <c r="J60" s="143">
        <v>0</v>
      </c>
      <c r="K60" s="143">
        <v>0</v>
      </c>
      <c r="L60" s="426">
        <v>0</v>
      </c>
      <c r="M60" s="426">
        <v>0</v>
      </c>
    </row>
    <row r="61" spans="1:13" ht="63">
      <c r="A61" s="281" t="s">
        <v>997</v>
      </c>
      <c r="B61" s="23" t="s">
        <v>154</v>
      </c>
      <c r="C61" s="23" t="s">
        <v>100</v>
      </c>
      <c r="D61" s="23" t="s">
        <v>242</v>
      </c>
      <c r="E61" s="23" t="s">
        <v>69</v>
      </c>
      <c r="F61" s="23" t="s">
        <v>70</v>
      </c>
      <c r="G61" s="23" t="s">
        <v>962</v>
      </c>
      <c r="H61" s="23" t="s">
        <v>165</v>
      </c>
      <c r="I61" s="88"/>
      <c r="J61" s="143">
        <v>140000</v>
      </c>
      <c r="K61" s="143">
        <v>140000</v>
      </c>
      <c r="L61" s="426">
        <v>140000</v>
      </c>
      <c r="M61" s="426">
        <v>140000</v>
      </c>
    </row>
    <row r="62" spans="1:13" ht="78" customHeight="1">
      <c r="A62" s="281" t="s">
        <v>1237</v>
      </c>
      <c r="B62" s="23" t="s">
        <v>154</v>
      </c>
      <c r="C62" s="23" t="s">
        <v>100</v>
      </c>
      <c r="D62" s="23" t="s">
        <v>242</v>
      </c>
      <c r="E62" s="23" t="s">
        <v>69</v>
      </c>
      <c r="F62" s="23" t="s">
        <v>70</v>
      </c>
      <c r="G62" s="23" t="s">
        <v>1239</v>
      </c>
      <c r="H62" s="23" t="s">
        <v>165</v>
      </c>
      <c r="I62" s="72">
        <f>SUM(I63:I66)</f>
        <v>-456</v>
      </c>
      <c r="J62" s="103"/>
      <c r="K62" s="103"/>
      <c r="L62" s="429"/>
      <c r="M62" s="429"/>
    </row>
    <row r="63" spans="1:13" ht="78.75" customHeight="1">
      <c r="A63" s="263" t="s">
        <v>757</v>
      </c>
      <c r="B63" s="141" t="s">
        <v>154</v>
      </c>
      <c r="C63" s="141" t="s">
        <v>100</v>
      </c>
      <c r="D63" s="141" t="s">
        <v>242</v>
      </c>
      <c r="E63" s="141" t="s">
        <v>69</v>
      </c>
      <c r="F63" s="141" t="s">
        <v>70</v>
      </c>
      <c r="G63" s="141" t="s">
        <v>756</v>
      </c>
      <c r="H63" s="141" t="s">
        <v>53</v>
      </c>
      <c r="I63" s="172">
        <v>-456</v>
      </c>
      <c r="J63" s="143">
        <v>0</v>
      </c>
      <c r="K63" s="143">
        <v>0</v>
      </c>
      <c r="L63" s="426">
        <v>0</v>
      </c>
      <c r="M63" s="426">
        <v>0</v>
      </c>
    </row>
    <row r="64" spans="1:13" ht="36.75" customHeight="1">
      <c r="A64" s="263" t="s">
        <v>915</v>
      </c>
      <c r="B64" s="141" t="s">
        <v>154</v>
      </c>
      <c r="C64" s="141" t="s">
        <v>100</v>
      </c>
      <c r="D64" s="141" t="s">
        <v>242</v>
      </c>
      <c r="E64" s="141" t="s">
        <v>60</v>
      </c>
      <c r="F64" s="141" t="s">
        <v>70</v>
      </c>
      <c r="G64" s="141" t="s">
        <v>636</v>
      </c>
      <c r="H64" s="141" t="s">
        <v>165</v>
      </c>
      <c r="I64" s="172"/>
      <c r="J64" s="225">
        <v>50000</v>
      </c>
      <c r="K64" s="225">
        <v>50000</v>
      </c>
      <c r="L64" s="445">
        <v>50000</v>
      </c>
      <c r="M64" s="445">
        <v>50000</v>
      </c>
    </row>
    <row r="65" spans="1:13" ht="51.75" customHeight="1">
      <c r="A65" s="263" t="s">
        <v>1146</v>
      </c>
      <c r="B65" s="141" t="s">
        <v>154</v>
      </c>
      <c r="C65" s="141" t="s">
        <v>100</v>
      </c>
      <c r="D65" s="141" t="s">
        <v>242</v>
      </c>
      <c r="E65" s="141" t="s">
        <v>233</v>
      </c>
      <c r="F65" s="141" t="s">
        <v>70</v>
      </c>
      <c r="G65" s="141" t="s">
        <v>1148</v>
      </c>
      <c r="H65" s="141" t="s">
        <v>165</v>
      </c>
      <c r="I65" s="172"/>
      <c r="J65" s="143"/>
      <c r="K65" s="143"/>
      <c r="L65" s="426"/>
      <c r="M65" s="426"/>
    </row>
    <row r="66" spans="1:13" ht="97.5" customHeight="1">
      <c r="A66" s="263" t="s">
        <v>1147</v>
      </c>
      <c r="B66" s="141" t="s">
        <v>154</v>
      </c>
      <c r="C66" s="141" t="s">
        <v>100</v>
      </c>
      <c r="D66" s="141" t="s">
        <v>242</v>
      </c>
      <c r="E66" s="141" t="s">
        <v>233</v>
      </c>
      <c r="F66" s="141" t="s">
        <v>70</v>
      </c>
      <c r="G66" s="141" t="s">
        <v>1149</v>
      </c>
      <c r="H66" s="141" t="s">
        <v>165</v>
      </c>
      <c r="I66" s="172"/>
      <c r="J66" s="260">
        <v>20000</v>
      </c>
      <c r="K66" s="260">
        <v>20000</v>
      </c>
      <c r="L66" s="446">
        <v>20000</v>
      </c>
      <c r="M66" s="446">
        <v>20000</v>
      </c>
    </row>
    <row r="67" spans="1:13" ht="96" customHeight="1">
      <c r="A67" s="263" t="s">
        <v>1031</v>
      </c>
      <c r="B67" s="141" t="s">
        <v>154</v>
      </c>
      <c r="C67" s="141" t="s">
        <v>100</v>
      </c>
      <c r="D67" s="141" t="s">
        <v>242</v>
      </c>
      <c r="E67" s="141" t="s">
        <v>69</v>
      </c>
      <c r="F67" s="141" t="s">
        <v>70</v>
      </c>
      <c r="G67" s="141" t="s">
        <v>1030</v>
      </c>
      <c r="H67" s="141" t="s">
        <v>165</v>
      </c>
      <c r="I67" s="172"/>
      <c r="J67" s="143"/>
      <c r="K67" s="143"/>
      <c r="L67" s="426"/>
      <c r="M67" s="426"/>
    </row>
    <row r="68" spans="1:13" ht="94.5">
      <c r="A68" s="263" t="s">
        <v>1034</v>
      </c>
      <c r="B68" s="141" t="s">
        <v>154</v>
      </c>
      <c r="C68" s="141" t="s">
        <v>100</v>
      </c>
      <c r="D68" s="141" t="s">
        <v>242</v>
      </c>
      <c r="E68" s="141" t="s">
        <v>69</v>
      </c>
      <c r="F68" s="141" t="s">
        <v>70</v>
      </c>
      <c r="G68" s="141" t="s">
        <v>1030</v>
      </c>
      <c r="H68" s="141" t="s">
        <v>165</v>
      </c>
      <c r="I68" s="172"/>
      <c r="J68" s="143"/>
      <c r="K68" s="143"/>
      <c r="L68" s="426"/>
      <c r="M68" s="426"/>
    </row>
    <row r="69" spans="1:13" ht="110.25">
      <c r="A69" s="281" t="s">
        <v>1263</v>
      </c>
      <c r="B69" s="23" t="s">
        <v>154</v>
      </c>
      <c r="C69" s="23" t="s">
        <v>100</v>
      </c>
      <c r="D69" s="23" t="s">
        <v>242</v>
      </c>
      <c r="E69" s="23" t="s">
        <v>69</v>
      </c>
      <c r="F69" s="23" t="s">
        <v>70</v>
      </c>
      <c r="G69" s="23" t="s">
        <v>1259</v>
      </c>
      <c r="H69" s="23" t="s">
        <v>982</v>
      </c>
      <c r="I69" s="25" t="e">
        <f>#REF!+I75</f>
        <v>#REF!</v>
      </c>
      <c r="J69" s="103"/>
      <c r="K69" s="103"/>
      <c r="L69" s="429"/>
      <c r="M69" s="429"/>
    </row>
    <row r="70" spans="1:13" ht="15.75">
      <c r="A70" s="249" t="s">
        <v>101</v>
      </c>
      <c r="B70" s="24" t="s">
        <v>154</v>
      </c>
      <c r="C70" s="24" t="s">
        <v>102</v>
      </c>
      <c r="D70" s="24"/>
      <c r="E70" s="24"/>
      <c r="F70" s="24"/>
      <c r="G70" s="24"/>
      <c r="H70" s="24"/>
      <c r="I70" s="91"/>
      <c r="J70" s="165">
        <f>SUM(J71:J78)</f>
        <v>758000</v>
      </c>
      <c r="K70" s="165">
        <f>SUM(K71:K78)</f>
        <v>688000</v>
      </c>
      <c r="L70" s="424">
        <f>SUM(L71:L78)</f>
        <v>758000</v>
      </c>
      <c r="M70" s="424">
        <f>SUM(M71:M78)</f>
        <v>688000</v>
      </c>
    </row>
    <row r="71" spans="1:13" ht="78.75" customHeight="1">
      <c r="A71" s="162" t="s">
        <v>591</v>
      </c>
      <c r="B71" s="23" t="s">
        <v>154</v>
      </c>
      <c r="C71" s="23" t="s">
        <v>102</v>
      </c>
      <c r="D71" s="23" t="s">
        <v>70</v>
      </c>
      <c r="E71" s="23" t="s">
        <v>60</v>
      </c>
      <c r="F71" s="23" t="s">
        <v>70</v>
      </c>
      <c r="G71" s="23" t="s">
        <v>506</v>
      </c>
      <c r="H71" s="23" t="s">
        <v>165</v>
      </c>
      <c r="I71" s="91"/>
      <c r="J71" s="143">
        <v>300000</v>
      </c>
      <c r="K71" s="143">
        <v>300000</v>
      </c>
      <c r="L71" s="426">
        <v>300000</v>
      </c>
      <c r="M71" s="426">
        <v>300000</v>
      </c>
    </row>
    <row r="72" spans="1:13" ht="47.25">
      <c r="A72" s="66" t="s">
        <v>615</v>
      </c>
      <c r="B72" s="23" t="s">
        <v>154</v>
      </c>
      <c r="C72" s="23" t="s">
        <v>102</v>
      </c>
      <c r="D72" s="23" t="s">
        <v>57</v>
      </c>
      <c r="E72" s="23" t="s">
        <v>69</v>
      </c>
      <c r="F72" s="23" t="s">
        <v>70</v>
      </c>
      <c r="G72" s="23" t="s">
        <v>507</v>
      </c>
      <c r="H72" s="23" t="s">
        <v>165</v>
      </c>
      <c r="I72" s="91"/>
      <c r="J72" s="250">
        <v>10000</v>
      </c>
      <c r="K72" s="250">
        <v>10000</v>
      </c>
      <c r="L72" s="430">
        <v>10000</v>
      </c>
      <c r="M72" s="430">
        <v>10000</v>
      </c>
    </row>
    <row r="73" spans="1:13" ht="52.5" customHeight="1">
      <c r="A73" s="65" t="s">
        <v>1408</v>
      </c>
      <c r="B73" s="23" t="s">
        <v>154</v>
      </c>
      <c r="C73" s="23" t="s">
        <v>102</v>
      </c>
      <c r="D73" s="23" t="s">
        <v>57</v>
      </c>
      <c r="E73" s="23" t="s">
        <v>69</v>
      </c>
      <c r="F73" s="23" t="s">
        <v>70</v>
      </c>
      <c r="G73" s="23" t="s">
        <v>508</v>
      </c>
      <c r="H73" s="23" t="s">
        <v>165</v>
      </c>
      <c r="I73" s="91"/>
      <c r="J73" s="250">
        <v>20000</v>
      </c>
      <c r="K73" s="250">
        <v>20000</v>
      </c>
      <c r="L73" s="430">
        <v>20000</v>
      </c>
      <c r="M73" s="430">
        <v>20000</v>
      </c>
    </row>
    <row r="74" spans="1:13" ht="63">
      <c r="A74" s="66" t="s">
        <v>602</v>
      </c>
      <c r="B74" s="23" t="s">
        <v>154</v>
      </c>
      <c r="C74" s="23" t="s">
        <v>102</v>
      </c>
      <c r="D74" s="23" t="s">
        <v>57</v>
      </c>
      <c r="E74" s="23" t="s">
        <v>69</v>
      </c>
      <c r="F74" s="23" t="s">
        <v>70</v>
      </c>
      <c r="G74" s="23" t="s">
        <v>509</v>
      </c>
      <c r="H74" s="23" t="s">
        <v>165</v>
      </c>
      <c r="I74" s="91"/>
      <c r="J74" s="143"/>
      <c r="K74" s="143"/>
      <c r="L74" s="426"/>
      <c r="M74" s="426"/>
    </row>
    <row r="75" spans="1:13" ht="47.25">
      <c r="A75" s="66" t="s">
        <v>630</v>
      </c>
      <c r="B75" s="23" t="s">
        <v>154</v>
      </c>
      <c r="C75" s="23" t="s">
        <v>102</v>
      </c>
      <c r="D75" s="23" t="s">
        <v>57</v>
      </c>
      <c r="E75" s="23" t="s">
        <v>69</v>
      </c>
      <c r="F75" s="23" t="s">
        <v>120</v>
      </c>
      <c r="G75" s="23" t="s">
        <v>629</v>
      </c>
      <c r="H75" s="23" t="s">
        <v>166</v>
      </c>
      <c r="I75" s="25" t="e">
        <f>I76+#REF!+#REF!+#REF!+#REF!+#REF!</f>
        <v>#REF!</v>
      </c>
      <c r="J75" s="143">
        <v>258000</v>
      </c>
      <c r="K75" s="143">
        <v>258000</v>
      </c>
      <c r="L75" s="426">
        <v>258000</v>
      </c>
      <c r="M75" s="426">
        <v>258000</v>
      </c>
    </row>
    <row r="76" spans="1:13" ht="126" customHeight="1">
      <c r="A76" s="65" t="s">
        <v>1409</v>
      </c>
      <c r="B76" s="23" t="s">
        <v>154</v>
      </c>
      <c r="C76" s="23" t="s">
        <v>102</v>
      </c>
      <c r="D76" s="23" t="s">
        <v>57</v>
      </c>
      <c r="E76" s="23" t="s">
        <v>69</v>
      </c>
      <c r="F76" s="23" t="s">
        <v>120</v>
      </c>
      <c r="G76" s="23" t="s">
        <v>963</v>
      </c>
      <c r="H76" s="23" t="s">
        <v>166</v>
      </c>
      <c r="I76" s="88">
        <v>-220</v>
      </c>
      <c r="J76" s="143">
        <v>170000</v>
      </c>
      <c r="K76" s="143">
        <v>100000</v>
      </c>
      <c r="L76" s="426">
        <v>170000</v>
      </c>
      <c r="M76" s="426">
        <v>100000</v>
      </c>
    </row>
    <row r="77" spans="1:13" ht="78.75" customHeight="1">
      <c r="A77" s="66" t="s">
        <v>1264</v>
      </c>
      <c r="B77" s="23" t="s">
        <v>154</v>
      </c>
      <c r="C77" s="23" t="s">
        <v>102</v>
      </c>
      <c r="D77" s="23" t="s">
        <v>57</v>
      </c>
      <c r="E77" s="23" t="s">
        <v>60</v>
      </c>
      <c r="F77" s="23" t="s">
        <v>70</v>
      </c>
      <c r="G77" s="23" t="s">
        <v>1260</v>
      </c>
      <c r="H77" s="23" t="s">
        <v>165</v>
      </c>
      <c r="I77" s="88"/>
      <c r="J77" s="103">
        <v>0</v>
      </c>
      <c r="K77" s="103">
        <v>0</v>
      </c>
      <c r="L77" s="429">
        <v>0</v>
      </c>
      <c r="M77" s="429">
        <v>0</v>
      </c>
    </row>
    <row r="78" spans="1:13" ht="94.5">
      <c r="A78" s="66" t="s">
        <v>1265</v>
      </c>
      <c r="B78" s="23" t="s">
        <v>154</v>
      </c>
      <c r="C78" s="23" t="s">
        <v>102</v>
      </c>
      <c r="D78" s="23" t="s">
        <v>57</v>
      </c>
      <c r="E78" s="23" t="s">
        <v>60</v>
      </c>
      <c r="F78" s="23" t="s">
        <v>70</v>
      </c>
      <c r="G78" s="23" t="s">
        <v>1261</v>
      </c>
      <c r="H78" s="23" t="s">
        <v>165</v>
      </c>
      <c r="I78" s="25" t="e">
        <f>I81+#REF!+#REF!+I85+I87+#REF!</f>
        <v>#REF!</v>
      </c>
      <c r="J78" s="103">
        <v>0</v>
      </c>
      <c r="K78" s="103">
        <v>0</v>
      </c>
      <c r="L78" s="429">
        <v>0</v>
      </c>
      <c r="M78" s="429">
        <v>0</v>
      </c>
    </row>
    <row r="79" spans="1:13" ht="19.5" customHeight="1">
      <c r="A79" s="249" t="s">
        <v>37</v>
      </c>
      <c r="B79" s="24" t="s">
        <v>154</v>
      </c>
      <c r="C79" s="24" t="s">
        <v>38</v>
      </c>
      <c r="D79" s="24"/>
      <c r="E79" s="24"/>
      <c r="F79" s="24"/>
      <c r="G79" s="24"/>
      <c r="H79" s="24"/>
      <c r="I79" s="88"/>
      <c r="J79" s="25">
        <f>J80+J86+J89</f>
        <v>4326496.82</v>
      </c>
      <c r="K79" s="25">
        <f>K80+K86+K89</f>
        <v>4256812.07</v>
      </c>
      <c r="L79" s="441">
        <f>L80+L86+L89</f>
        <v>4326496.82</v>
      </c>
      <c r="M79" s="441">
        <f>M80+M86+M89</f>
        <v>4256812.07</v>
      </c>
    </row>
    <row r="80" spans="1:13" ht="19.5" customHeight="1">
      <c r="A80" s="251" t="s">
        <v>134</v>
      </c>
      <c r="B80" s="32">
        <v>900</v>
      </c>
      <c r="C80" s="33" t="s">
        <v>135</v>
      </c>
      <c r="D80" s="33"/>
      <c r="E80" s="33"/>
      <c r="F80" s="33"/>
      <c r="G80" s="33"/>
      <c r="H80" s="33"/>
      <c r="I80" s="88"/>
      <c r="J80" s="266">
        <f>SUM(J81:J85)</f>
        <v>2978103.62</v>
      </c>
      <c r="K80" s="266">
        <f>SUM(K81:K85)</f>
        <v>2978103.62</v>
      </c>
      <c r="L80" s="447">
        <f>SUM(L81:L85)</f>
        <v>2978103.62</v>
      </c>
      <c r="M80" s="447">
        <f>SUM(M81:M85)</f>
        <v>2978103.62</v>
      </c>
    </row>
    <row r="81" spans="1:13" ht="47.25">
      <c r="A81" s="66" t="s">
        <v>648</v>
      </c>
      <c r="B81" s="69">
        <v>900</v>
      </c>
      <c r="C81" s="70" t="s">
        <v>135</v>
      </c>
      <c r="D81" s="70" t="s">
        <v>61</v>
      </c>
      <c r="E81" s="70" t="s">
        <v>144</v>
      </c>
      <c r="F81" s="70" t="s">
        <v>70</v>
      </c>
      <c r="G81" s="70" t="s">
        <v>683</v>
      </c>
      <c r="H81" s="70" t="s">
        <v>165</v>
      </c>
      <c r="I81" s="88"/>
      <c r="J81" s="265">
        <v>1235573.6</v>
      </c>
      <c r="K81" s="265">
        <v>1235573.6</v>
      </c>
      <c r="L81" s="448">
        <v>1235573.6</v>
      </c>
      <c r="M81" s="448">
        <v>1235573.6</v>
      </c>
    </row>
    <row r="82" spans="1:13" ht="63">
      <c r="A82" s="66" t="s">
        <v>1069</v>
      </c>
      <c r="B82" s="69">
        <v>900</v>
      </c>
      <c r="C82" s="70" t="s">
        <v>135</v>
      </c>
      <c r="D82" s="70" t="s">
        <v>61</v>
      </c>
      <c r="E82" s="70" t="s">
        <v>144</v>
      </c>
      <c r="F82" s="70" t="s">
        <v>70</v>
      </c>
      <c r="G82" s="70" t="s">
        <v>1068</v>
      </c>
      <c r="H82" s="70" t="s">
        <v>165</v>
      </c>
      <c r="I82" s="88"/>
      <c r="J82" s="265">
        <v>1546853.1</v>
      </c>
      <c r="K82" s="265">
        <v>1546853.1</v>
      </c>
      <c r="L82" s="448">
        <v>1546853.1</v>
      </c>
      <c r="M82" s="448">
        <v>1546853.1</v>
      </c>
    </row>
    <row r="83" spans="1:13" ht="62.25" customHeight="1">
      <c r="A83" s="278" t="s">
        <v>977</v>
      </c>
      <c r="B83" s="69">
        <v>900</v>
      </c>
      <c r="C83" s="70" t="s">
        <v>135</v>
      </c>
      <c r="D83" s="70" t="s">
        <v>61</v>
      </c>
      <c r="E83" s="70" t="s">
        <v>979</v>
      </c>
      <c r="F83" s="70" t="s">
        <v>70</v>
      </c>
      <c r="G83" s="70" t="s">
        <v>980</v>
      </c>
      <c r="H83" s="70" t="s">
        <v>165</v>
      </c>
      <c r="I83" s="88"/>
      <c r="J83" s="265"/>
      <c r="K83" s="265"/>
      <c r="L83" s="448"/>
      <c r="M83" s="448"/>
    </row>
    <row r="84" spans="1:13" ht="78.75">
      <c r="A84" s="278" t="s">
        <v>1074</v>
      </c>
      <c r="B84" s="69">
        <v>900</v>
      </c>
      <c r="C84" s="70" t="s">
        <v>135</v>
      </c>
      <c r="D84" s="70" t="s">
        <v>61</v>
      </c>
      <c r="E84" s="70" t="s">
        <v>144</v>
      </c>
      <c r="F84" s="70" t="s">
        <v>70</v>
      </c>
      <c r="G84" s="70" t="s">
        <v>1144</v>
      </c>
      <c r="H84" s="70" t="s">
        <v>166</v>
      </c>
      <c r="I84" s="90" t="e">
        <f>#REF!+#REF!+#REF!+I85</f>
        <v>#REF!</v>
      </c>
      <c r="J84" s="265">
        <v>195676.92</v>
      </c>
      <c r="K84" s="265">
        <v>195676.92</v>
      </c>
      <c r="L84" s="448">
        <v>195676.92</v>
      </c>
      <c r="M84" s="448">
        <v>195676.92</v>
      </c>
    </row>
    <row r="85" spans="1:13" ht="47.25">
      <c r="A85" s="278" t="s">
        <v>1019</v>
      </c>
      <c r="B85" s="69">
        <v>900</v>
      </c>
      <c r="C85" s="70" t="s">
        <v>135</v>
      </c>
      <c r="D85" s="70" t="s">
        <v>61</v>
      </c>
      <c r="E85" s="70" t="s">
        <v>979</v>
      </c>
      <c r="F85" s="70" t="s">
        <v>70</v>
      </c>
      <c r="G85" s="70" t="s">
        <v>1020</v>
      </c>
      <c r="H85" s="70" t="s">
        <v>165</v>
      </c>
      <c r="I85" s="90">
        <f>I86</f>
        <v>0</v>
      </c>
      <c r="J85" s="164"/>
      <c r="K85" s="164"/>
      <c r="L85" s="449"/>
      <c r="M85" s="449"/>
    </row>
    <row r="86" spans="1:13" ht="15.75">
      <c r="A86" s="249" t="s">
        <v>136</v>
      </c>
      <c r="B86" s="24" t="s">
        <v>154</v>
      </c>
      <c r="C86" s="24" t="s">
        <v>137</v>
      </c>
      <c r="D86" s="24"/>
      <c r="E86" s="24"/>
      <c r="F86" s="24"/>
      <c r="G86" s="24"/>
      <c r="H86" s="24"/>
      <c r="I86" s="92"/>
      <c r="J86" s="165">
        <f>SUM(J87:J88)</f>
        <v>372805.06</v>
      </c>
      <c r="K86" s="165">
        <f>SUM(K87:K88)</f>
        <v>372805.06</v>
      </c>
      <c r="L86" s="424">
        <f>SUM(L87:L88)</f>
        <v>372805.06</v>
      </c>
      <c r="M86" s="424">
        <f>SUM(M87:M88)</f>
        <v>372805.06</v>
      </c>
    </row>
    <row r="87" spans="1:13" ht="51" customHeight="1">
      <c r="A87" s="66" t="s">
        <v>603</v>
      </c>
      <c r="B87" s="23" t="s">
        <v>154</v>
      </c>
      <c r="C87" s="23" t="s">
        <v>137</v>
      </c>
      <c r="D87" s="23" t="s">
        <v>61</v>
      </c>
      <c r="E87" s="23" t="s">
        <v>69</v>
      </c>
      <c r="F87" s="23" t="s">
        <v>70</v>
      </c>
      <c r="G87" s="23" t="s">
        <v>510</v>
      </c>
      <c r="H87" s="23" t="s">
        <v>165</v>
      </c>
      <c r="I87" s="92"/>
      <c r="J87" s="267">
        <v>255625.06</v>
      </c>
      <c r="K87" s="267">
        <v>255625.06</v>
      </c>
      <c r="L87" s="442">
        <v>255625.06</v>
      </c>
      <c r="M87" s="442">
        <v>255625.06</v>
      </c>
    </row>
    <row r="88" spans="1:13" ht="52.5" customHeight="1">
      <c r="A88" s="66" t="s">
        <v>611</v>
      </c>
      <c r="B88" s="23" t="s">
        <v>154</v>
      </c>
      <c r="C88" s="23" t="s">
        <v>137</v>
      </c>
      <c r="D88" s="23" t="s">
        <v>163</v>
      </c>
      <c r="E88" s="23" t="s">
        <v>119</v>
      </c>
      <c r="F88" s="23" t="s">
        <v>500</v>
      </c>
      <c r="G88" s="23" t="s">
        <v>511</v>
      </c>
      <c r="H88" s="23" t="s">
        <v>165</v>
      </c>
      <c r="I88" s="92"/>
      <c r="J88" s="143">
        <v>117180</v>
      </c>
      <c r="K88" s="143">
        <v>117180</v>
      </c>
      <c r="L88" s="426">
        <v>117180</v>
      </c>
      <c r="M88" s="426">
        <v>117180</v>
      </c>
    </row>
    <row r="89" spans="1:13" ht="15.75">
      <c r="A89" s="249" t="s">
        <v>650</v>
      </c>
      <c r="B89" s="24" t="s">
        <v>154</v>
      </c>
      <c r="C89" s="24" t="s">
        <v>649</v>
      </c>
      <c r="D89" s="24"/>
      <c r="E89" s="24"/>
      <c r="F89" s="24"/>
      <c r="G89" s="24"/>
      <c r="H89" s="24"/>
      <c r="I89" s="25">
        <f>I90</f>
        <v>-80.6</v>
      </c>
      <c r="J89" s="165">
        <f>SUM(J90:J100)</f>
        <v>975588.14</v>
      </c>
      <c r="K89" s="165">
        <f>SUM(K90:K100)</f>
        <v>905903.39</v>
      </c>
      <c r="L89" s="424">
        <f>SUM(L90:L100)</f>
        <v>975588.14</v>
      </c>
      <c r="M89" s="424">
        <f>SUM(M90:M100)</f>
        <v>905903.39</v>
      </c>
    </row>
    <row r="90" spans="1:13" ht="65.25" customHeight="1">
      <c r="A90" s="66" t="s">
        <v>668</v>
      </c>
      <c r="B90" s="23" t="s">
        <v>154</v>
      </c>
      <c r="C90" s="23" t="s">
        <v>649</v>
      </c>
      <c r="D90" s="23" t="s">
        <v>61</v>
      </c>
      <c r="E90" s="23" t="s">
        <v>60</v>
      </c>
      <c r="F90" s="23" t="s">
        <v>70</v>
      </c>
      <c r="G90" s="23" t="s">
        <v>684</v>
      </c>
      <c r="H90" s="23" t="s">
        <v>165</v>
      </c>
      <c r="I90" s="25">
        <f>SUM(I91:I100)</f>
        <v>-80.6</v>
      </c>
      <c r="J90" s="143">
        <v>261044.73</v>
      </c>
      <c r="K90" s="143">
        <v>261044.73</v>
      </c>
      <c r="L90" s="426">
        <v>261044.73</v>
      </c>
      <c r="M90" s="426">
        <v>261044.73</v>
      </c>
    </row>
    <row r="91" spans="1:13" ht="63" customHeight="1">
      <c r="A91" s="66" t="s">
        <v>655</v>
      </c>
      <c r="B91" s="23" t="s">
        <v>154</v>
      </c>
      <c r="C91" s="23" t="s">
        <v>649</v>
      </c>
      <c r="D91" s="23" t="s">
        <v>61</v>
      </c>
      <c r="E91" s="23" t="s">
        <v>60</v>
      </c>
      <c r="F91" s="23" t="s">
        <v>70</v>
      </c>
      <c r="G91" s="23" t="s">
        <v>685</v>
      </c>
      <c r="H91" s="23" t="s">
        <v>165</v>
      </c>
      <c r="I91" s="88">
        <v>-80.6</v>
      </c>
      <c r="J91" s="143">
        <v>240038.66</v>
      </c>
      <c r="K91" s="143">
        <v>240038.66</v>
      </c>
      <c r="L91" s="426">
        <v>240038.66</v>
      </c>
      <c r="M91" s="426">
        <v>240038.66</v>
      </c>
    </row>
    <row r="92" spans="1:13" ht="78.75">
      <c r="A92" s="66" t="s">
        <v>1210</v>
      </c>
      <c r="B92" s="23" t="s">
        <v>154</v>
      </c>
      <c r="C92" s="23" t="s">
        <v>649</v>
      </c>
      <c r="D92" s="23" t="s">
        <v>61</v>
      </c>
      <c r="E92" s="23" t="s">
        <v>60</v>
      </c>
      <c r="F92" s="23" t="s">
        <v>70</v>
      </c>
      <c r="G92" s="23" t="s">
        <v>685</v>
      </c>
      <c r="H92" s="23" t="s">
        <v>982</v>
      </c>
      <c r="I92" s="88"/>
      <c r="J92" s="103"/>
      <c r="K92" s="103"/>
      <c r="L92" s="429"/>
      <c r="M92" s="429"/>
    </row>
    <row r="93" spans="1:13" ht="98.25" customHeight="1">
      <c r="A93" s="66" t="s">
        <v>1224</v>
      </c>
      <c r="B93" s="23" t="s">
        <v>154</v>
      </c>
      <c r="C93" s="23" t="s">
        <v>649</v>
      </c>
      <c r="D93" s="23" t="s">
        <v>61</v>
      </c>
      <c r="E93" s="23" t="s">
        <v>60</v>
      </c>
      <c r="F93" s="23" t="s">
        <v>70</v>
      </c>
      <c r="G93" s="23" t="s">
        <v>1225</v>
      </c>
      <c r="H93" s="23" t="s">
        <v>166</v>
      </c>
      <c r="I93" s="88"/>
      <c r="J93" s="103"/>
      <c r="K93" s="103"/>
      <c r="L93" s="429"/>
      <c r="M93" s="429"/>
    </row>
    <row r="94" spans="1:13" ht="69" customHeight="1">
      <c r="A94" s="66" t="s">
        <v>1215</v>
      </c>
      <c r="B94" s="23" t="s">
        <v>154</v>
      </c>
      <c r="C94" s="23" t="s">
        <v>649</v>
      </c>
      <c r="D94" s="23" t="s">
        <v>61</v>
      </c>
      <c r="E94" s="23" t="s">
        <v>60</v>
      </c>
      <c r="F94" s="23" t="s">
        <v>70</v>
      </c>
      <c r="G94" s="23" t="s">
        <v>1218</v>
      </c>
      <c r="H94" s="23" t="s">
        <v>165</v>
      </c>
      <c r="I94" s="88"/>
      <c r="J94" s="103"/>
      <c r="K94" s="103"/>
      <c r="L94" s="429"/>
      <c r="M94" s="429"/>
    </row>
    <row r="95" spans="1:13" ht="70.5" customHeight="1">
      <c r="A95" s="66" t="s">
        <v>1216</v>
      </c>
      <c r="B95" s="23" t="s">
        <v>154</v>
      </c>
      <c r="C95" s="23" t="s">
        <v>649</v>
      </c>
      <c r="D95" s="23" t="s">
        <v>61</v>
      </c>
      <c r="E95" s="23" t="s">
        <v>60</v>
      </c>
      <c r="F95" s="23" t="s">
        <v>70</v>
      </c>
      <c r="G95" s="23" t="s">
        <v>1219</v>
      </c>
      <c r="H95" s="23" t="s">
        <v>165</v>
      </c>
      <c r="I95" s="88"/>
      <c r="J95" s="103"/>
      <c r="K95" s="103"/>
      <c r="L95" s="429"/>
      <c r="M95" s="429"/>
    </row>
    <row r="96" spans="1:13" ht="63">
      <c r="A96" s="66" t="s">
        <v>1217</v>
      </c>
      <c r="B96" s="23" t="s">
        <v>154</v>
      </c>
      <c r="C96" s="23" t="s">
        <v>649</v>
      </c>
      <c r="D96" s="23" t="s">
        <v>61</v>
      </c>
      <c r="E96" s="23" t="s">
        <v>93</v>
      </c>
      <c r="F96" s="23" t="s">
        <v>70</v>
      </c>
      <c r="G96" s="23" t="s">
        <v>1220</v>
      </c>
      <c r="H96" s="23" t="s">
        <v>165</v>
      </c>
      <c r="I96" s="87"/>
      <c r="J96" s="103"/>
      <c r="K96" s="103"/>
      <c r="L96" s="429"/>
      <c r="M96" s="429"/>
    </row>
    <row r="97" spans="1:13" ht="110.25">
      <c r="A97" s="235" t="s">
        <v>759</v>
      </c>
      <c r="B97" s="141" t="s">
        <v>154</v>
      </c>
      <c r="C97" s="141" t="s">
        <v>649</v>
      </c>
      <c r="D97" s="141" t="s">
        <v>61</v>
      </c>
      <c r="E97" s="141" t="s">
        <v>60</v>
      </c>
      <c r="F97" s="141" t="s">
        <v>70</v>
      </c>
      <c r="G97" s="141" t="s">
        <v>1356</v>
      </c>
      <c r="H97" s="141" t="s">
        <v>53</v>
      </c>
      <c r="I97" s="172"/>
      <c r="J97" s="143">
        <v>0</v>
      </c>
      <c r="K97" s="143">
        <v>0</v>
      </c>
      <c r="L97" s="426">
        <v>0</v>
      </c>
      <c r="M97" s="426">
        <v>0</v>
      </c>
    </row>
    <row r="98" spans="1:13" ht="141.75">
      <c r="A98" s="235" t="s">
        <v>1333</v>
      </c>
      <c r="B98" s="141" t="s">
        <v>154</v>
      </c>
      <c r="C98" s="141" t="s">
        <v>649</v>
      </c>
      <c r="D98" s="141" t="s">
        <v>163</v>
      </c>
      <c r="E98" s="141" t="s">
        <v>119</v>
      </c>
      <c r="F98" s="141" t="s">
        <v>500</v>
      </c>
      <c r="G98" s="141" t="s">
        <v>1332</v>
      </c>
      <c r="H98" s="141" t="s">
        <v>166</v>
      </c>
      <c r="I98" s="172"/>
      <c r="J98" s="143">
        <v>69684.75</v>
      </c>
      <c r="K98" s="143"/>
      <c r="L98" s="426">
        <v>69684.75</v>
      </c>
      <c r="M98" s="426"/>
    </row>
    <row r="99" spans="1:13" ht="94.5">
      <c r="A99" s="235" t="s">
        <v>745</v>
      </c>
      <c r="B99" s="141" t="s">
        <v>154</v>
      </c>
      <c r="C99" s="141" t="s">
        <v>649</v>
      </c>
      <c r="D99" s="141" t="s">
        <v>61</v>
      </c>
      <c r="E99" s="141" t="s">
        <v>93</v>
      </c>
      <c r="F99" s="141" t="s">
        <v>70</v>
      </c>
      <c r="G99" s="141" t="s">
        <v>746</v>
      </c>
      <c r="H99" s="141" t="s">
        <v>53</v>
      </c>
      <c r="I99" s="172"/>
      <c r="J99" s="143">
        <v>0</v>
      </c>
      <c r="K99" s="143">
        <v>0</v>
      </c>
      <c r="L99" s="426">
        <v>0</v>
      </c>
      <c r="M99" s="426">
        <v>0</v>
      </c>
    </row>
    <row r="100" spans="1:13" ht="71.25" customHeight="1">
      <c r="A100" s="282" t="s">
        <v>657</v>
      </c>
      <c r="B100" s="141" t="s">
        <v>154</v>
      </c>
      <c r="C100" s="141" t="s">
        <v>649</v>
      </c>
      <c r="D100" s="141" t="s">
        <v>61</v>
      </c>
      <c r="E100" s="141" t="s">
        <v>93</v>
      </c>
      <c r="F100" s="141" t="s">
        <v>70</v>
      </c>
      <c r="G100" s="141" t="s">
        <v>686</v>
      </c>
      <c r="H100" s="141" t="s">
        <v>165</v>
      </c>
      <c r="I100" s="172"/>
      <c r="J100" s="143">
        <v>404820</v>
      </c>
      <c r="K100" s="143">
        <v>404820</v>
      </c>
      <c r="L100" s="426">
        <v>404820</v>
      </c>
      <c r="M100" s="426">
        <v>404820</v>
      </c>
    </row>
    <row r="101" spans="1:13" ht="15.75">
      <c r="A101" s="249" t="s">
        <v>138</v>
      </c>
      <c r="B101" s="32">
        <v>900</v>
      </c>
      <c r="C101" s="33" t="s">
        <v>139</v>
      </c>
      <c r="D101" s="33"/>
      <c r="E101" s="33"/>
      <c r="F101" s="33"/>
      <c r="G101" s="33"/>
      <c r="H101" s="33"/>
      <c r="I101" s="25" t="e">
        <f>I102+I105+#REF!</f>
        <v>#REF!</v>
      </c>
      <c r="J101" s="266">
        <f>J102</f>
        <v>145000</v>
      </c>
      <c r="K101" s="266">
        <f>K102</f>
        <v>145000</v>
      </c>
      <c r="L101" s="447">
        <f>L102</f>
        <v>145000</v>
      </c>
      <c r="M101" s="447">
        <f>M102</f>
        <v>145000</v>
      </c>
    </row>
    <row r="102" spans="1:13" ht="15.75">
      <c r="A102" s="249" t="s">
        <v>140</v>
      </c>
      <c r="B102" s="32">
        <v>900</v>
      </c>
      <c r="C102" s="33" t="s">
        <v>141</v>
      </c>
      <c r="D102" s="33"/>
      <c r="E102" s="33"/>
      <c r="F102" s="33"/>
      <c r="G102" s="33"/>
      <c r="H102" s="33"/>
      <c r="I102" s="72">
        <f>SUM(I103:I104)</f>
        <v>30</v>
      </c>
      <c r="J102" s="266">
        <f>SUM(J103:J108)</f>
        <v>145000</v>
      </c>
      <c r="K102" s="266">
        <f>SUM(K103:K108)</f>
        <v>145000</v>
      </c>
      <c r="L102" s="447">
        <f>SUM(L103:L108)</f>
        <v>145000</v>
      </c>
      <c r="M102" s="447">
        <f>SUM(M103:M108)</f>
        <v>145000</v>
      </c>
    </row>
    <row r="103" spans="1:13" ht="51" customHeight="1">
      <c r="A103" s="235" t="s">
        <v>1347</v>
      </c>
      <c r="B103" s="261">
        <v>900</v>
      </c>
      <c r="C103" s="262" t="s">
        <v>141</v>
      </c>
      <c r="D103" s="262" t="s">
        <v>59</v>
      </c>
      <c r="E103" s="262" t="s">
        <v>233</v>
      </c>
      <c r="F103" s="262" t="s">
        <v>70</v>
      </c>
      <c r="G103" s="262" t="s">
        <v>1343</v>
      </c>
      <c r="H103" s="262" t="s">
        <v>165</v>
      </c>
      <c r="I103" s="172"/>
      <c r="J103" s="265">
        <v>126000</v>
      </c>
      <c r="K103" s="265">
        <v>126000</v>
      </c>
      <c r="L103" s="448">
        <v>126000</v>
      </c>
      <c r="M103" s="448">
        <v>126000</v>
      </c>
    </row>
    <row r="104" spans="1:13" ht="47.25">
      <c r="A104" s="66" t="s">
        <v>621</v>
      </c>
      <c r="B104" s="69">
        <v>900</v>
      </c>
      <c r="C104" s="70" t="s">
        <v>141</v>
      </c>
      <c r="D104" s="70" t="s">
        <v>58</v>
      </c>
      <c r="E104" s="70" t="s">
        <v>69</v>
      </c>
      <c r="F104" s="70" t="s">
        <v>70</v>
      </c>
      <c r="G104" s="70" t="s">
        <v>512</v>
      </c>
      <c r="H104" s="70" t="s">
        <v>111</v>
      </c>
      <c r="I104" s="87">
        <v>30</v>
      </c>
      <c r="J104" s="265"/>
      <c r="K104" s="265"/>
      <c r="L104" s="448"/>
      <c r="M104" s="448"/>
    </row>
    <row r="105" spans="1:13" ht="78.75">
      <c r="A105" s="162" t="s">
        <v>1050</v>
      </c>
      <c r="B105" s="69">
        <v>900</v>
      </c>
      <c r="C105" s="70" t="s">
        <v>141</v>
      </c>
      <c r="D105" s="70">
        <v>11</v>
      </c>
      <c r="E105" s="70" t="s">
        <v>60</v>
      </c>
      <c r="F105" s="70" t="s">
        <v>70</v>
      </c>
      <c r="G105" s="70" t="s">
        <v>513</v>
      </c>
      <c r="H105" s="70" t="s">
        <v>165</v>
      </c>
      <c r="I105" s="72" t="e">
        <f>#REF!+#REF!+#REF!</f>
        <v>#REF!</v>
      </c>
      <c r="J105" s="265">
        <v>4000</v>
      </c>
      <c r="K105" s="265">
        <v>4000</v>
      </c>
      <c r="L105" s="448">
        <v>4000</v>
      </c>
      <c r="M105" s="448">
        <v>4000</v>
      </c>
    </row>
    <row r="106" spans="1:13" ht="63">
      <c r="A106" s="71" t="s">
        <v>1357</v>
      </c>
      <c r="B106" s="69">
        <v>900</v>
      </c>
      <c r="C106" s="70" t="s">
        <v>141</v>
      </c>
      <c r="D106" s="70">
        <v>11</v>
      </c>
      <c r="E106" s="70" t="s">
        <v>69</v>
      </c>
      <c r="F106" s="70" t="s">
        <v>242</v>
      </c>
      <c r="G106" s="70" t="s">
        <v>1051</v>
      </c>
      <c r="H106" s="70" t="s">
        <v>165</v>
      </c>
      <c r="I106" s="133"/>
      <c r="J106" s="265"/>
      <c r="K106" s="265"/>
      <c r="L106" s="448"/>
      <c r="M106" s="448"/>
    </row>
    <row r="107" spans="1:13" ht="63">
      <c r="A107" s="66" t="s">
        <v>1242</v>
      </c>
      <c r="B107" s="69">
        <v>900</v>
      </c>
      <c r="C107" s="70" t="s">
        <v>141</v>
      </c>
      <c r="D107" s="70">
        <v>11</v>
      </c>
      <c r="E107" s="70" t="s">
        <v>69</v>
      </c>
      <c r="F107" s="70" t="s">
        <v>242</v>
      </c>
      <c r="G107" s="70" t="s">
        <v>1051</v>
      </c>
      <c r="H107" s="70" t="s">
        <v>165</v>
      </c>
      <c r="I107" s="133"/>
      <c r="J107" s="143">
        <v>9000</v>
      </c>
      <c r="K107" s="143">
        <v>9000</v>
      </c>
      <c r="L107" s="426">
        <v>9000</v>
      </c>
      <c r="M107" s="426">
        <v>9000</v>
      </c>
    </row>
    <row r="108" spans="1:13" ht="66.75" customHeight="1">
      <c r="A108" s="66" t="s">
        <v>1243</v>
      </c>
      <c r="B108" s="69">
        <v>900</v>
      </c>
      <c r="C108" s="70" t="s">
        <v>141</v>
      </c>
      <c r="D108" s="70">
        <v>11</v>
      </c>
      <c r="E108" s="70" t="s">
        <v>69</v>
      </c>
      <c r="F108" s="70" t="s">
        <v>242</v>
      </c>
      <c r="G108" s="70" t="s">
        <v>1244</v>
      </c>
      <c r="H108" s="70" t="s">
        <v>165</v>
      </c>
      <c r="I108" s="133"/>
      <c r="J108" s="265">
        <v>6000</v>
      </c>
      <c r="K108" s="265">
        <v>6000</v>
      </c>
      <c r="L108" s="448">
        <v>6000</v>
      </c>
      <c r="M108" s="448">
        <v>6000</v>
      </c>
    </row>
    <row r="109" spans="1:13" ht="15.75">
      <c r="A109" s="249" t="s">
        <v>142</v>
      </c>
      <c r="B109" s="24" t="s">
        <v>154</v>
      </c>
      <c r="C109" s="24" t="s">
        <v>143</v>
      </c>
      <c r="D109" s="24"/>
      <c r="E109" s="24"/>
      <c r="F109" s="24"/>
      <c r="G109" s="24"/>
      <c r="H109" s="24"/>
      <c r="I109" s="159"/>
      <c r="J109" s="165">
        <f>J110</f>
        <v>10876768</v>
      </c>
      <c r="K109" s="165">
        <f>K110</f>
        <v>10140280</v>
      </c>
      <c r="L109" s="424">
        <f>L110</f>
        <v>10876768</v>
      </c>
      <c r="M109" s="424">
        <f>M110</f>
        <v>10140280</v>
      </c>
    </row>
    <row r="110" spans="1:13" ht="20.25" customHeight="1">
      <c r="A110" s="249" t="s">
        <v>161</v>
      </c>
      <c r="B110" s="24" t="s">
        <v>154</v>
      </c>
      <c r="C110" s="24" t="s">
        <v>162</v>
      </c>
      <c r="D110" s="24"/>
      <c r="E110" s="24"/>
      <c r="F110" s="24"/>
      <c r="G110" s="24"/>
      <c r="H110" s="24"/>
      <c r="I110" s="87"/>
      <c r="J110" s="165">
        <f>SUM(J111:J125)</f>
        <v>10876768</v>
      </c>
      <c r="K110" s="165">
        <f>SUM(K111:K125)</f>
        <v>10140280</v>
      </c>
      <c r="L110" s="424">
        <f>SUM(L111:L125)</f>
        <v>10876768</v>
      </c>
      <c r="M110" s="424">
        <f>SUM(M111:M125)</f>
        <v>10140280</v>
      </c>
    </row>
    <row r="111" spans="1:13" ht="63.75" customHeight="1">
      <c r="A111" s="66" t="s">
        <v>400</v>
      </c>
      <c r="B111" s="23" t="s">
        <v>154</v>
      </c>
      <c r="C111" s="23" t="s">
        <v>162</v>
      </c>
      <c r="D111" s="23" t="s">
        <v>59</v>
      </c>
      <c r="E111" s="23" t="s">
        <v>69</v>
      </c>
      <c r="F111" s="23" t="s">
        <v>70</v>
      </c>
      <c r="G111" s="23" t="s">
        <v>514</v>
      </c>
      <c r="H111" s="23" t="s">
        <v>110</v>
      </c>
      <c r="I111" s="87"/>
      <c r="J111" s="216">
        <f>3998750-61700</f>
        <v>3937050</v>
      </c>
      <c r="K111" s="270">
        <f>3716924.9-61700</f>
        <v>3655224.9</v>
      </c>
      <c r="L111" s="450">
        <f>3998750-61700</f>
        <v>3937050</v>
      </c>
      <c r="M111" s="451">
        <f>3716924.9-61700</f>
        <v>3655224.9</v>
      </c>
    </row>
    <row r="112" spans="1:13" ht="82.5" customHeight="1">
      <c r="A112" s="235" t="s">
        <v>569</v>
      </c>
      <c r="B112" s="141" t="s">
        <v>154</v>
      </c>
      <c r="C112" s="141" t="s">
        <v>162</v>
      </c>
      <c r="D112" s="141" t="s">
        <v>59</v>
      </c>
      <c r="E112" s="141" t="s">
        <v>69</v>
      </c>
      <c r="F112" s="141" t="s">
        <v>70</v>
      </c>
      <c r="G112" s="141" t="s">
        <v>572</v>
      </c>
      <c r="H112" s="141" t="s">
        <v>110</v>
      </c>
      <c r="I112" s="172"/>
      <c r="J112" s="272">
        <v>0</v>
      </c>
      <c r="K112" s="272">
        <v>0</v>
      </c>
      <c r="L112" s="452">
        <v>0</v>
      </c>
      <c r="M112" s="452">
        <v>0</v>
      </c>
    </row>
    <row r="113" spans="1:13" ht="95.25" customHeight="1">
      <c r="A113" s="235" t="s">
        <v>515</v>
      </c>
      <c r="B113" s="141" t="s">
        <v>154</v>
      </c>
      <c r="C113" s="141" t="s">
        <v>162</v>
      </c>
      <c r="D113" s="141" t="s">
        <v>59</v>
      </c>
      <c r="E113" s="141" t="s">
        <v>69</v>
      </c>
      <c r="F113" s="141" t="s">
        <v>70</v>
      </c>
      <c r="G113" s="141" t="s">
        <v>516</v>
      </c>
      <c r="H113" s="141" t="s">
        <v>110</v>
      </c>
      <c r="I113" s="271">
        <f>I117</f>
        <v>0</v>
      </c>
      <c r="J113" s="272">
        <v>0</v>
      </c>
      <c r="K113" s="272">
        <v>0</v>
      </c>
      <c r="L113" s="452">
        <v>0</v>
      </c>
      <c r="M113" s="452">
        <v>0</v>
      </c>
    </row>
    <row r="114" spans="1:16" ht="78.75">
      <c r="A114" s="66" t="s">
        <v>407</v>
      </c>
      <c r="B114" s="23" t="s">
        <v>154</v>
      </c>
      <c r="C114" s="23" t="s">
        <v>162</v>
      </c>
      <c r="D114" s="23" t="s">
        <v>59</v>
      </c>
      <c r="E114" s="23" t="s">
        <v>60</v>
      </c>
      <c r="F114" s="23" t="s">
        <v>70</v>
      </c>
      <c r="G114" s="23" t="s">
        <v>517</v>
      </c>
      <c r="H114" s="23" t="s">
        <v>110</v>
      </c>
      <c r="I114" s="72"/>
      <c r="J114" s="250">
        <f>6590157+26561</f>
        <v>6616718</v>
      </c>
      <c r="K114" s="270">
        <v>6353055.1</v>
      </c>
      <c r="L114" s="430">
        <f>6590157+26561</f>
        <v>6616718</v>
      </c>
      <c r="M114" s="451">
        <v>6353055.1</v>
      </c>
      <c r="P114" s="193"/>
    </row>
    <row r="115" spans="1:13" ht="84" customHeight="1">
      <c r="A115" s="235" t="s">
        <v>569</v>
      </c>
      <c r="B115" s="141" t="s">
        <v>154</v>
      </c>
      <c r="C115" s="141" t="s">
        <v>162</v>
      </c>
      <c r="D115" s="141" t="s">
        <v>59</v>
      </c>
      <c r="E115" s="141" t="s">
        <v>60</v>
      </c>
      <c r="F115" s="141" t="s">
        <v>70</v>
      </c>
      <c r="G115" s="141" t="s">
        <v>572</v>
      </c>
      <c r="H115" s="141" t="s">
        <v>110</v>
      </c>
      <c r="I115" s="287"/>
      <c r="J115" s="272">
        <v>0</v>
      </c>
      <c r="K115" s="272">
        <v>0</v>
      </c>
      <c r="L115" s="452">
        <v>0</v>
      </c>
      <c r="M115" s="452">
        <v>0</v>
      </c>
    </row>
    <row r="116" spans="1:13" ht="110.25">
      <c r="A116" s="235" t="s">
        <v>518</v>
      </c>
      <c r="B116" s="141" t="s">
        <v>154</v>
      </c>
      <c r="C116" s="141" t="s">
        <v>162</v>
      </c>
      <c r="D116" s="141" t="s">
        <v>59</v>
      </c>
      <c r="E116" s="141" t="s">
        <v>60</v>
      </c>
      <c r="F116" s="141" t="s">
        <v>70</v>
      </c>
      <c r="G116" s="141" t="s">
        <v>516</v>
      </c>
      <c r="H116" s="141" t="s">
        <v>110</v>
      </c>
      <c r="I116" s="287"/>
      <c r="J116" s="272">
        <v>0</v>
      </c>
      <c r="K116" s="272">
        <v>0</v>
      </c>
      <c r="L116" s="452">
        <v>0</v>
      </c>
      <c r="M116" s="452">
        <v>0</v>
      </c>
    </row>
    <row r="117" spans="1:13" ht="78.75">
      <c r="A117" s="235" t="s">
        <v>1166</v>
      </c>
      <c r="B117" s="141" t="s">
        <v>154</v>
      </c>
      <c r="C117" s="141" t="s">
        <v>162</v>
      </c>
      <c r="D117" s="141" t="s">
        <v>59</v>
      </c>
      <c r="E117" s="141" t="s">
        <v>69</v>
      </c>
      <c r="F117" s="141" t="s">
        <v>70</v>
      </c>
      <c r="G117" s="141" t="s">
        <v>1167</v>
      </c>
      <c r="H117" s="141" t="s">
        <v>110</v>
      </c>
      <c r="I117" s="271">
        <f>SUM(I118:I119)</f>
        <v>0</v>
      </c>
      <c r="J117" s="272"/>
      <c r="K117" s="272"/>
      <c r="L117" s="452"/>
      <c r="M117" s="452"/>
    </row>
    <row r="118" spans="1:13" ht="78.75">
      <c r="A118" s="235" t="s">
        <v>1172</v>
      </c>
      <c r="B118" s="141" t="s">
        <v>154</v>
      </c>
      <c r="C118" s="141" t="s">
        <v>162</v>
      </c>
      <c r="D118" s="141" t="s">
        <v>59</v>
      </c>
      <c r="E118" s="141" t="s">
        <v>69</v>
      </c>
      <c r="F118" s="141" t="s">
        <v>70</v>
      </c>
      <c r="G118" s="141" t="s">
        <v>1173</v>
      </c>
      <c r="H118" s="141" t="s">
        <v>110</v>
      </c>
      <c r="I118" s="172"/>
      <c r="J118" s="272"/>
      <c r="K118" s="272"/>
      <c r="L118" s="452"/>
      <c r="M118" s="452"/>
    </row>
    <row r="119" spans="1:13" ht="63">
      <c r="A119" s="235" t="s">
        <v>1201</v>
      </c>
      <c r="B119" s="141" t="s">
        <v>154</v>
      </c>
      <c r="C119" s="141" t="s">
        <v>162</v>
      </c>
      <c r="D119" s="141" t="s">
        <v>59</v>
      </c>
      <c r="E119" s="141" t="s">
        <v>69</v>
      </c>
      <c r="F119" s="141" t="s">
        <v>70</v>
      </c>
      <c r="G119" s="141" t="s">
        <v>1195</v>
      </c>
      <c r="H119" s="141" t="s">
        <v>110</v>
      </c>
      <c r="I119" s="172"/>
      <c r="J119" s="272"/>
      <c r="K119" s="272"/>
      <c r="L119" s="452"/>
      <c r="M119" s="452"/>
    </row>
    <row r="120" spans="1:13" ht="78.75">
      <c r="A120" s="235" t="s">
        <v>1168</v>
      </c>
      <c r="B120" s="141" t="s">
        <v>154</v>
      </c>
      <c r="C120" s="141" t="s">
        <v>162</v>
      </c>
      <c r="D120" s="141" t="s">
        <v>59</v>
      </c>
      <c r="E120" s="141" t="s">
        <v>60</v>
      </c>
      <c r="F120" s="141" t="s">
        <v>70</v>
      </c>
      <c r="G120" s="141" t="s">
        <v>1169</v>
      </c>
      <c r="H120" s="141" t="s">
        <v>110</v>
      </c>
      <c r="I120" s="172"/>
      <c r="J120" s="250">
        <v>191000</v>
      </c>
      <c r="K120" s="250"/>
      <c r="L120" s="430">
        <v>191000</v>
      </c>
      <c r="M120" s="430"/>
    </row>
    <row r="121" spans="1:14" ht="78.75">
      <c r="A121" s="235" t="s">
        <v>1170</v>
      </c>
      <c r="B121" s="141" t="s">
        <v>154</v>
      </c>
      <c r="C121" s="141" t="s">
        <v>162</v>
      </c>
      <c r="D121" s="141" t="s">
        <v>59</v>
      </c>
      <c r="E121" s="141" t="s">
        <v>60</v>
      </c>
      <c r="F121" s="141" t="s">
        <v>70</v>
      </c>
      <c r="G121" s="141" t="s">
        <v>1171</v>
      </c>
      <c r="H121" s="141" t="s">
        <v>110</v>
      </c>
      <c r="I121" s="269">
        <f>I122</f>
        <v>0</v>
      </c>
      <c r="J121" s="272"/>
      <c r="K121" s="272"/>
      <c r="L121" s="452"/>
      <c r="M121" s="452"/>
      <c r="N121" s="193"/>
    </row>
    <row r="122" spans="1:13" ht="63">
      <c r="A122" s="235" t="s">
        <v>1202</v>
      </c>
      <c r="B122" s="141" t="s">
        <v>154</v>
      </c>
      <c r="C122" s="141" t="s">
        <v>162</v>
      </c>
      <c r="D122" s="141" t="s">
        <v>59</v>
      </c>
      <c r="E122" s="141" t="s">
        <v>60</v>
      </c>
      <c r="F122" s="141" t="s">
        <v>70</v>
      </c>
      <c r="G122" s="141" t="s">
        <v>1197</v>
      </c>
      <c r="H122" s="141" t="s">
        <v>110</v>
      </c>
      <c r="I122" s="269">
        <f>I13+I124+I131</f>
        <v>0</v>
      </c>
      <c r="J122" s="272"/>
      <c r="K122" s="272"/>
      <c r="L122" s="452"/>
      <c r="M122" s="452"/>
    </row>
    <row r="123" spans="1:13" ht="48.75" customHeight="1">
      <c r="A123" s="65" t="s">
        <v>1456</v>
      </c>
      <c r="B123" s="141" t="s">
        <v>154</v>
      </c>
      <c r="C123" s="141" t="s">
        <v>162</v>
      </c>
      <c r="D123" s="141" t="s">
        <v>59</v>
      </c>
      <c r="E123" s="141" t="s">
        <v>69</v>
      </c>
      <c r="F123" s="141" t="s">
        <v>120</v>
      </c>
      <c r="G123" s="141" t="s">
        <v>1342</v>
      </c>
      <c r="H123" s="141" t="s">
        <v>110</v>
      </c>
      <c r="I123" s="172">
        <v>-47.1</v>
      </c>
      <c r="J123" s="250">
        <f>70300+61700</f>
        <v>132000</v>
      </c>
      <c r="K123" s="250">
        <f>70300+61700</f>
        <v>132000</v>
      </c>
      <c r="L123" s="430">
        <f>70300+61700</f>
        <v>132000</v>
      </c>
      <c r="M123" s="430">
        <f>70300+61700</f>
        <v>132000</v>
      </c>
    </row>
    <row r="124" spans="1:13" ht="66" customHeight="1">
      <c r="A124" s="235" t="s">
        <v>558</v>
      </c>
      <c r="B124" s="141" t="s">
        <v>154</v>
      </c>
      <c r="C124" s="141" t="s">
        <v>162</v>
      </c>
      <c r="D124" s="141" t="s">
        <v>59</v>
      </c>
      <c r="E124" s="141" t="s">
        <v>60</v>
      </c>
      <c r="F124" s="141" t="s">
        <v>70</v>
      </c>
      <c r="G124" s="141" t="s">
        <v>770</v>
      </c>
      <c r="H124" s="141" t="s">
        <v>110</v>
      </c>
      <c r="I124" s="271">
        <f>SUM(I126:I129)</f>
        <v>0</v>
      </c>
      <c r="J124" s="272"/>
      <c r="K124" s="272"/>
      <c r="L124" s="452"/>
      <c r="M124" s="452"/>
    </row>
    <row r="125" spans="1:13" ht="110.25">
      <c r="A125" s="235" t="s">
        <v>1251</v>
      </c>
      <c r="B125" s="141" t="s">
        <v>154</v>
      </c>
      <c r="C125" s="141" t="s">
        <v>162</v>
      </c>
      <c r="D125" s="141" t="s">
        <v>59</v>
      </c>
      <c r="E125" s="141" t="s">
        <v>60</v>
      </c>
      <c r="F125" s="141" t="s">
        <v>70</v>
      </c>
      <c r="G125" s="141" t="s">
        <v>1250</v>
      </c>
      <c r="H125" s="141" t="s">
        <v>110</v>
      </c>
      <c r="I125" s="287"/>
      <c r="J125" s="272"/>
      <c r="K125" s="272"/>
      <c r="L125" s="452"/>
      <c r="M125" s="452"/>
    </row>
    <row r="126" spans="1:14" ht="15.75">
      <c r="A126" s="249" t="s">
        <v>255</v>
      </c>
      <c r="B126" s="24" t="s">
        <v>154</v>
      </c>
      <c r="C126" s="24" t="s">
        <v>256</v>
      </c>
      <c r="D126" s="24"/>
      <c r="E126" s="24"/>
      <c r="F126" s="24"/>
      <c r="G126" s="24"/>
      <c r="H126" s="24"/>
      <c r="I126" s="87">
        <v>14.3</v>
      </c>
      <c r="J126" s="165">
        <f>J127+J130+J132+J134</f>
        <v>5550381.76</v>
      </c>
      <c r="K126" s="165">
        <f>K127+K130+K132+K134</f>
        <v>5550381.76</v>
      </c>
      <c r="L126" s="424">
        <f>L127+L130+L132+L134</f>
        <v>7697295.76</v>
      </c>
      <c r="M126" s="424">
        <f>M127+M130+M132+M134</f>
        <v>2928207.76</v>
      </c>
      <c r="N126" s="193"/>
    </row>
    <row r="127" spans="1:13" ht="15.75">
      <c r="A127" s="249" t="s">
        <v>257</v>
      </c>
      <c r="B127" s="24" t="s">
        <v>154</v>
      </c>
      <c r="C127" s="24" t="s">
        <v>160</v>
      </c>
      <c r="D127" s="24"/>
      <c r="E127" s="24"/>
      <c r="F127" s="24"/>
      <c r="G127" s="24"/>
      <c r="H127" s="24"/>
      <c r="I127" s="87">
        <v>-14.3</v>
      </c>
      <c r="J127" s="25">
        <f>SUM(J128:J129)</f>
        <v>1254553.76</v>
      </c>
      <c r="K127" s="25">
        <f>SUM(K128:K129)</f>
        <v>1254553.76</v>
      </c>
      <c r="L127" s="441">
        <f>SUM(L128:L129)</f>
        <v>1254553.76</v>
      </c>
      <c r="M127" s="441">
        <f>SUM(M128:M129)</f>
        <v>1254553.76</v>
      </c>
    </row>
    <row r="128" spans="1:13" ht="78.75">
      <c r="A128" s="235" t="s">
        <v>610</v>
      </c>
      <c r="B128" s="141" t="s">
        <v>154</v>
      </c>
      <c r="C128" s="141" t="s">
        <v>160</v>
      </c>
      <c r="D128" s="141" t="s">
        <v>120</v>
      </c>
      <c r="E128" s="141" t="s">
        <v>69</v>
      </c>
      <c r="F128" s="141" t="s">
        <v>120</v>
      </c>
      <c r="G128" s="141" t="s">
        <v>519</v>
      </c>
      <c r="H128" s="141" t="s">
        <v>165</v>
      </c>
      <c r="I128" s="172"/>
      <c r="J128" s="143">
        <v>18540.2</v>
      </c>
      <c r="K128" s="143">
        <v>18540.2</v>
      </c>
      <c r="L128" s="426">
        <v>18540.2</v>
      </c>
      <c r="M128" s="426">
        <v>18540.2</v>
      </c>
    </row>
    <row r="129" spans="1:13" ht="78.75">
      <c r="A129" s="235" t="s">
        <v>471</v>
      </c>
      <c r="B129" s="141" t="s">
        <v>154</v>
      </c>
      <c r="C129" s="141" t="s">
        <v>160</v>
      </c>
      <c r="D129" s="141" t="s">
        <v>120</v>
      </c>
      <c r="E129" s="141" t="s">
        <v>69</v>
      </c>
      <c r="F129" s="141" t="s">
        <v>120</v>
      </c>
      <c r="G129" s="141" t="s">
        <v>519</v>
      </c>
      <c r="H129" s="141" t="s">
        <v>111</v>
      </c>
      <c r="I129" s="172"/>
      <c r="J129" s="250">
        <v>1236013.56</v>
      </c>
      <c r="K129" s="250">
        <v>1236013.56</v>
      </c>
      <c r="L129" s="430">
        <v>1236013.56</v>
      </c>
      <c r="M129" s="430">
        <v>1236013.56</v>
      </c>
    </row>
    <row r="130" spans="1:13" ht="15.75">
      <c r="A130" s="249" t="s">
        <v>201</v>
      </c>
      <c r="B130" s="24" t="s">
        <v>154</v>
      </c>
      <c r="C130" s="24" t="s">
        <v>202</v>
      </c>
      <c r="D130" s="24"/>
      <c r="E130" s="24"/>
      <c r="F130" s="24"/>
      <c r="G130" s="24"/>
      <c r="H130" s="24"/>
      <c r="I130" s="154"/>
      <c r="J130" s="25">
        <f>J131</f>
        <v>0</v>
      </c>
      <c r="K130" s="25">
        <f>K131</f>
        <v>0</v>
      </c>
      <c r="L130" s="441">
        <f>L131</f>
        <v>0</v>
      </c>
      <c r="M130" s="441">
        <f>M131</f>
        <v>0</v>
      </c>
    </row>
    <row r="131" spans="1:13" ht="47.25">
      <c r="A131" s="131" t="s">
        <v>1006</v>
      </c>
      <c r="B131" s="23" t="s">
        <v>154</v>
      </c>
      <c r="C131" s="23" t="s">
        <v>202</v>
      </c>
      <c r="D131" s="23" t="s">
        <v>61</v>
      </c>
      <c r="E131" s="23" t="s">
        <v>233</v>
      </c>
      <c r="F131" s="23" t="s">
        <v>70</v>
      </c>
      <c r="G131" s="23" t="s">
        <v>1012</v>
      </c>
      <c r="H131" s="23" t="s">
        <v>111</v>
      </c>
      <c r="I131" s="25">
        <f>I132</f>
        <v>0</v>
      </c>
      <c r="J131" s="34"/>
      <c r="K131" s="34"/>
      <c r="L131" s="453"/>
      <c r="M131" s="453"/>
    </row>
    <row r="132" spans="1:13" ht="15.75">
      <c r="A132" s="249" t="s">
        <v>203</v>
      </c>
      <c r="B132" s="153" t="s">
        <v>154</v>
      </c>
      <c r="C132" s="153" t="s">
        <v>204</v>
      </c>
      <c r="D132" s="127"/>
      <c r="E132" s="127"/>
      <c r="F132" s="127"/>
      <c r="G132" s="127"/>
      <c r="H132" s="127"/>
      <c r="I132" s="87"/>
      <c r="J132" s="163">
        <f>J133</f>
        <v>4293828</v>
      </c>
      <c r="K132" s="163">
        <f>K133</f>
        <v>4293828</v>
      </c>
      <c r="L132" s="454">
        <f>L133</f>
        <v>6440742</v>
      </c>
      <c r="M132" s="454">
        <f>M133</f>
        <v>1671654</v>
      </c>
    </row>
    <row r="133" spans="1:13" ht="78.75">
      <c r="A133" s="235" t="s">
        <v>1070</v>
      </c>
      <c r="B133" s="141" t="s">
        <v>154</v>
      </c>
      <c r="C133" s="141" t="s">
        <v>204</v>
      </c>
      <c r="D133" s="141" t="s">
        <v>61</v>
      </c>
      <c r="E133" s="141" t="s">
        <v>1071</v>
      </c>
      <c r="F133" s="141" t="s">
        <v>70</v>
      </c>
      <c r="G133" s="141" t="s">
        <v>1245</v>
      </c>
      <c r="H133" s="141" t="s">
        <v>982</v>
      </c>
      <c r="I133" s="172"/>
      <c r="J133" s="267">
        <v>4293828</v>
      </c>
      <c r="K133" s="267">
        <v>4293828</v>
      </c>
      <c r="L133" s="442">
        <v>6440742</v>
      </c>
      <c r="M133" s="442">
        <v>1671654</v>
      </c>
    </row>
    <row r="134" spans="1:13" ht="15.75">
      <c r="A134" s="160" t="s">
        <v>330</v>
      </c>
      <c r="B134" s="153" t="s">
        <v>154</v>
      </c>
      <c r="C134" s="153" t="s">
        <v>329</v>
      </c>
      <c r="D134" s="153"/>
      <c r="E134" s="153"/>
      <c r="F134" s="153"/>
      <c r="G134" s="153"/>
      <c r="H134" s="153"/>
      <c r="I134" s="218" t="e">
        <f>I135+I184</f>
        <v>#REF!</v>
      </c>
      <c r="J134" s="165">
        <f>SUM(J135:J138)</f>
        <v>2000</v>
      </c>
      <c r="K134" s="165">
        <f>SUM(K135:K138)</f>
        <v>2000</v>
      </c>
      <c r="L134" s="424">
        <f>SUM(L135:L138)</f>
        <v>2000</v>
      </c>
      <c r="M134" s="424">
        <f>SUM(M135:M138)</f>
        <v>2000</v>
      </c>
    </row>
    <row r="135" spans="1:13" ht="66.75" customHeight="1">
      <c r="A135" s="162" t="s">
        <v>896</v>
      </c>
      <c r="B135" s="23" t="s">
        <v>154</v>
      </c>
      <c r="C135" s="23" t="s">
        <v>329</v>
      </c>
      <c r="D135" s="23" t="s">
        <v>1381</v>
      </c>
      <c r="E135" s="23" t="s">
        <v>69</v>
      </c>
      <c r="F135" s="23" t="s">
        <v>70</v>
      </c>
      <c r="G135" s="23" t="s">
        <v>876</v>
      </c>
      <c r="H135" s="23" t="s">
        <v>165</v>
      </c>
      <c r="I135" s="25" t="e">
        <f>I136+I146+I172+I178</f>
        <v>#REF!</v>
      </c>
      <c r="J135" s="99"/>
      <c r="K135" s="99"/>
      <c r="L135" s="455"/>
      <c r="M135" s="455"/>
    </row>
    <row r="136" spans="1:13" ht="66" customHeight="1">
      <c r="A136" s="162" t="s">
        <v>901</v>
      </c>
      <c r="B136" s="23" t="s">
        <v>154</v>
      </c>
      <c r="C136" s="23" t="s">
        <v>329</v>
      </c>
      <c r="D136" s="23" t="s">
        <v>1381</v>
      </c>
      <c r="E136" s="23" t="s">
        <v>69</v>
      </c>
      <c r="F136" s="23" t="s">
        <v>70</v>
      </c>
      <c r="G136" s="23" t="s">
        <v>964</v>
      </c>
      <c r="H136" s="23" t="s">
        <v>165</v>
      </c>
      <c r="I136" s="25">
        <f>SUM(I137:I145)</f>
        <v>500</v>
      </c>
      <c r="J136" s="99"/>
      <c r="K136" s="99"/>
      <c r="L136" s="455"/>
      <c r="M136" s="455"/>
    </row>
    <row r="137" spans="1:13" ht="78.75">
      <c r="A137" s="237" t="s">
        <v>1331</v>
      </c>
      <c r="B137" s="141" t="s">
        <v>154</v>
      </c>
      <c r="C137" s="141" t="s">
        <v>329</v>
      </c>
      <c r="D137" s="141" t="s">
        <v>1381</v>
      </c>
      <c r="E137" s="141" t="s">
        <v>69</v>
      </c>
      <c r="F137" s="141" t="s">
        <v>242</v>
      </c>
      <c r="G137" s="141" t="s">
        <v>1337</v>
      </c>
      <c r="H137" s="141" t="s">
        <v>165</v>
      </c>
      <c r="I137" s="172">
        <v>500</v>
      </c>
      <c r="J137" s="250">
        <v>0</v>
      </c>
      <c r="K137" s="250">
        <v>0</v>
      </c>
      <c r="L137" s="430">
        <v>0</v>
      </c>
      <c r="M137" s="430">
        <v>0</v>
      </c>
    </row>
    <row r="138" spans="1:13" ht="78.75">
      <c r="A138" s="237" t="s">
        <v>903</v>
      </c>
      <c r="B138" s="141" t="s">
        <v>154</v>
      </c>
      <c r="C138" s="141" t="s">
        <v>329</v>
      </c>
      <c r="D138" s="141" t="s">
        <v>1381</v>
      </c>
      <c r="E138" s="141" t="s">
        <v>69</v>
      </c>
      <c r="F138" s="141" t="s">
        <v>242</v>
      </c>
      <c r="G138" s="141" t="s">
        <v>965</v>
      </c>
      <c r="H138" s="141" t="s">
        <v>165</v>
      </c>
      <c r="I138" s="172"/>
      <c r="J138" s="250">
        <v>2000</v>
      </c>
      <c r="K138" s="250">
        <v>2000</v>
      </c>
      <c r="L138" s="430">
        <v>2000</v>
      </c>
      <c r="M138" s="430">
        <v>2000</v>
      </c>
    </row>
    <row r="139" spans="1:13" ht="15.75">
      <c r="A139" s="249" t="s">
        <v>205</v>
      </c>
      <c r="B139" s="24" t="s">
        <v>154</v>
      </c>
      <c r="C139" s="24" t="s">
        <v>206</v>
      </c>
      <c r="D139" s="24"/>
      <c r="E139" s="24"/>
      <c r="F139" s="24"/>
      <c r="G139" s="24"/>
      <c r="H139" s="24"/>
      <c r="I139" s="87"/>
      <c r="J139" s="25">
        <f>J140+J143</f>
        <v>863721</v>
      </c>
      <c r="K139" s="25">
        <f>K140+K143</f>
        <v>450000</v>
      </c>
      <c r="L139" s="441">
        <f>L140+L143</f>
        <v>863721</v>
      </c>
      <c r="M139" s="441">
        <f>M140+M143</f>
        <v>450000</v>
      </c>
    </row>
    <row r="140" spans="1:13" ht="18" customHeight="1">
      <c r="A140" s="249" t="s">
        <v>1036</v>
      </c>
      <c r="B140" s="24" t="s">
        <v>154</v>
      </c>
      <c r="C140" s="24" t="s">
        <v>1035</v>
      </c>
      <c r="D140" s="24"/>
      <c r="E140" s="24"/>
      <c r="F140" s="24"/>
      <c r="G140" s="24"/>
      <c r="H140" s="24"/>
      <c r="I140" s="87"/>
      <c r="J140" s="25">
        <f>SUM(J141:J142)</f>
        <v>0</v>
      </c>
      <c r="K140" s="25">
        <f>SUM(K141:K142)</f>
        <v>0</v>
      </c>
      <c r="L140" s="441">
        <f>SUM(L141:L142)</f>
        <v>0</v>
      </c>
      <c r="M140" s="441">
        <f>SUM(M141:M142)</f>
        <v>0</v>
      </c>
    </row>
    <row r="141" spans="1:13" ht="84" customHeight="1">
      <c r="A141" s="280" t="s">
        <v>1040</v>
      </c>
      <c r="B141" s="141" t="s">
        <v>154</v>
      </c>
      <c r="C141" s="141" t="s">
        <v>1035</v>
      </c>
      <c r="D141" s="141" t="s">
        <v>58</v>
      </c>
      <c r="E141" s="141" t="s">
        <v>69</v>
      </c>
      <c r="F141" s="141" t="s">
        <v>70</v>
      </c>
      <c r="G141" s="141" t="s">
        <v>1037</v>
      </c>
      <c r="H141" s="141" t="s">
        <v>982</v>
      </c>
      <c r="I141" s="172"/>
      <c r="J141" s="267"/>
      <c r="K141" s="267"/>
      <c r="L141" s="442"/>
      <c r="M141" s="442"/>
    </row>
    <row r="142" spans="1:13" ht="78.75">
      <c r="A142" s="280" t="s">
        <v>1039</v>
      </c>
      <c r="B142" s="141" t="s">
        <v>154</v>
      </c>
      <c r="C142" s="141" t="s">
        <v>1035</v>
      </c>
      <c r="D142" s="141" t="s">
        <v>58</v>
      </c>
      <c r="E142" s="141" t="s">
        <v>69</v>
      </c>
      <c r="F142" s="141" t="s">
        <v>70</v>
      </c>
      <c r="G142" s="141" t="s">
        <v>1038</v>
      </c>
      <c r="H142" s="141" t="s">
        <v>982</v>
      </c>
      <c r="I142" s="172"/>
      <c r="J142" s="267"/>
      <c r="K142" s="267"/>
      <c r="L142" s="442"/>
      <c r="M142" s="442"/>
    </row>
    <row r="143" spans="1:13" ht="15.75">
      <c r="A143" s="249" t="s">
        <v>230</v>
      </c>
      <c r="B143" s="24" t="s">
        <v>154</v>
      </c>
      <c r="C143" s="24" t="s">
        <v>207</v>
      </c>
      <c r="D143" s="24"/>
      <c r="E143" s="24"/>
      <c r="F143" s="24"/>
      <c r="G143" s="24"/>
      <c r="H143" s="24"/>
      <c r="I143" s="88"/>
      <c r="J143" s="25">
        <f>SUM(J144:J146)</f>
        <v>863721</v>
      </c>
      <c r="K143" s="25">
        <f>SUM(K144:K146)</f>
        <v>450000</v>
      </c>
      <c r="L143" s="441">
        <f>SUM(L144:L146)</f>
        <v>863721</v>
      </c>
      <c r="M143" s="441">
        <f>SUM(M144:M146)</f>
        <v>450000</v>
      </c>
    </row>
    <row r="144" spans="1:13" ht="84" customHeight="1">
      <c r="A144" s="66" t="s">
        <v>676</v>
      </c>
      <c r="B144" s="23" t="s">
        <v>154</v>
      </c>
      <c r="C144" s="23" t="s">
        <v>207</v>
      </c>
      <c r="D144" s="23" t="s">
        <v>294</v>
      </c>
      <c r="E144" s="23" t="s">
        <v>69</v>
      </c>
      <c r="F144" s="23" t="s">
        <v>70</v>
      </c>
      <c r="G144" s="23" t="s">
        <v>520</v>
      </c>
      <c r="H144" s="23" t="s">
        <v>165</v>
      </c>
      <c r="I144" s="87"/>
      <c r="J144" s="103">
        <v>250000</v>
      </c>
      <c r="K144" s="267">
        <v>250000</v>
      </c>
      <c r="L144" s="429">
        <v>250000</v>
      </c>
      <c r="M144" s="442">
        <v>250000</v>
      </c>
    </row>
    <row r="145" spans="1:13" ht="66.75" customHeight="1">
      <c r="A145" s="66" t="s">
        <v>924</v>
      </c>
      <c r="B145" s="23" t="s">
        <v>154</v>
      </c>
      <c r="C145" s="23" t="s">
        <v>207</v>
      </c>
      <c r="D145" s="23" t="s">
        <v>294</v>
      </c>
      <c r="E145" s="23" t="s">
        <v>60</v>
      </c>
      <c r="F145" s="23" t="s">
        <v>70</v>
      </c>
      <c r="G145" s="23" t="s">
        <v>521</v>
      </c>
      <c r="H145" s="23" t="s">
        <v>165</v>
      </c>
      <c r="I145" s="88"/>
      <c r="J145" s="103">
        <v>164120</v>
      </c>
      <c r="K145" s="267">
        <v>125000</v>
      </c>
      <c r="L145" s="429">
        <v>164120</v>
      </c>
      <c r="M145" s="442">
        <v>125000</v>
      </c>
    </row>
    <row r="146" spans="1:13" ht="63">
      <c r="A146" s="66" t="s">
        <v>925</v>
      </c>
      <c r="B146" s="23" t="s">
        <v>154</v>
      </c>
      <c r="C146" s="23" t="s">
        <v>207</v>
      </c>
      <c r="D146" s="23" t="s">
        <v>294</v>
      </c>
      <c r="E146" s="23" t="s">
        <v>60</v>
      </c>
      <c r="F146" s="23" t="s">
        <v>70</v>
      </c>
      <c r="G146" s="23" t="s">
        <v>503</v>
      </c>
      <c r="H146" s="23" t="s">
        <v>165</v>
      </c>
      <c r="I146" s="25" t="e">
        <f>I147+I156+I163+#REF!+#REF!+#REF!+I164+#REF!+I165+I166+I167+#REF!+#REF!+I168+I169</f>
        <v>#REF!</v>
      </c>
      <c r="J146" s="103">
        <v>449601</v>
      </c>
      <c r="K146" s="267">
        <v>75000</v>
      </c>
      <c r="L146" s="429">
        <v>449601</v>
      </c>
      <c r="M146" s="442">
        <v>75000</v>
      </c>
    </row>
    <row r="147" spans="1:13" ht="15.75">
      <c r="A147" s="247" t="s">
        <v>127</v>
      </c>
      <c r="B147" s="248" t="s">
        <v>128</v>
      </c>
      <c r="C147" s="248"/>
      <c r="D147" s="248"/>
      <c r="E147" s="248"/>
      <c r="F147" s="248"/>
      <c r="G147" s="248"/>
      <c r="H147" s="248"/>
      <c r="I147" s="73" t="e">
        <f>I148+I153+#REF!+#REF!+#REF!+#REF!</f>
        <v>#REF!</v>
      </c>
      <c r="J147" s="203">
        <f aca="true" t="shared" si="1" ref="J147:M148">J148</f>
        <v>1265857.24</v>
      </c>
      <c r="K147" s="203">
        <f t="shared" si="1"/>
        <v>1265857.24</v>
      </c>
      <c r="L147" s="456">
        <f t="shared" si="1"/>
        <v>1265857.24</v>
      </c>
      <c r="M147" s="456">
        <f t="shared" si="1"/>
        <v>1265857.24</v>
      </c>
    </row>
    <row r="148" spans="1:13" ht="15.75">
      <c r="A148" s="249" t="s">
        <v>285</v>
      </c>
      <c r="B148" s="24" t="s">
        <v>128</v>
      </c>
      <c r="C148" s="24" t="s">
        <v>286</v>
      </c>
      <c r="D148" s="24"/>
      <c r="E148" s="24"/>
      <c r="F148" s="24"/>
      <c r="G148" s="24"/>
      <c r="H148" s="24"/>
      <c r="I148" s="87"/>
      <c r="J148" s="165">
        <f t="shared" si="1"/>
        <v>1265857.24</v>
      </c>
      <c r="K148" s="165">
        <f t="shared" si="1"/>
        <v>1265857.24</v>
      </c>
      <c r="L148" s="424">
        <f t="shared" si="1"/>
        <v>1265857.24</v>
      </c>
      <c r="M148" s="424">
        <f t="shared" si="1"/>
        <v>1265857.24</v>
      </c>
    </row>
    <row r="149" spans="1:13" ht="51.75" customHeight="1">
      <c r="A149" s="249" t="s">
        <v>254</v>
      </c>
      <c r="B149" s="24" t="s">
        <v>128</v>
      </c>
      <c r="C149" s="24" t="s">
        <v>130</v>
      </c>
      <c r="D149" s="24"/>
      <c r="E149" s="24"/>
      <c r="F149" s="24"/>
      <c r="G149" s="24"/>
      <c r="H149" s="24"/>
      <c r="I149" s="87"/>
      <c r="J149" s="165">
        <f>SUM(J150:J153)</f>
        <v>1265857.24</v>
      </c>
      <c r="K149" s="165">
        <f>SUM(K150:K153)</f>
        <v>1265857.24</v>
      </c>
      <c r="L149" s="424">
        <f>SUM(L150:L153)</f>
        <v>1265857.24</v>
      </c>
      <c r="M149" s="424">
        <f>SUM(M150:M153)</f>
        <v>1265857.24</v>
      </c>
    </row>
    <row r="150" spans="1:13" ht="94.5">
      <c r="A150" s="131" t="s">
        <v>983</v>
      </c>
      <c r="B150" s="23" t="s">
        <v>128</v>
      </c>
      <c r="C150" s="23" t="s">
        <v>130</v>
      </c>
      <c r="D150" s="23" t="s">
        <v>120</v>
      </c>
      <c r="E150" s="23" t="s">
        <v>60</v>
      </c>
      <c r="F150" s="23" t="s">
        <v>120</v>
      </c>
      <c r="G150" s="23" t="s">
        <v>560</v>
      </c>
      <c r="H150" s="23" t="s">
        <v>164</v>
      </c>
      <c r="I150" s="87"/>
      <c r="J150" s="143">
        <v>489343.68</v>
      </c>
      <c r="K150" s="143">
        <v>489343.68</v>
      </c>
      <c r="L150" s="426">
        <v>489343.68</v>
      </c>
      <c r="M150" s="426">
        <v>489343.68</v>
      </c>
    </row>
    <row r="151" spans="1:13" ht="81.75" customHeight="1">
      <c r="A151" s="66" t="s">
        <v>522</v>
      </c>
      <c r="B151" s="23" t="s">
        <v>128</v>
      </c>
      <c r="C151" s="23" t="s">
        <v>130</v>
      </c>
      <c r="D151" s="23" t="s">
        <v>120</v>
      </c>
      <c r="E151" s="23" t="s">
        <v>60</v>
      </c>
      <c r="F151" s="23" t="s">
        <v>120</v>
      </c>
      <c r="G151" s="23" t="s">
        <v>523</v>
      </c>
      <c r="H151" s="23" t="s">
        <v>164</v>
      </c>
      <c r="I151" s="87"/>
      <c r="J151" s="143">
        <v>237904.56</v>
      </c>
      <c r="K151" s="143">
        <v>237904.56</v>
      </c>
      <c r="L151" s="426">
        <v>237904.56</v>
      </c>
      <c r="M151" s="426">
        <v>237904.56</v>
      </c>
    </row>
    <row r="152" spans="1:13" ht="63">
      <c r="A152" s="66" t="s">
        <v>593</v>
      </c>
      <c r="B152" s="23" t="s">
        <v>128</v>
      </c>
      <c r="C152" s="23" t="s">
        <v>130</v>
      </c>
      <c r="D152" s="23" t="s">
        <v>120</v>
      </c>
      <c r="E152" s="23" t="s">
        <v>60</v>
      </c>
      <c r="F152" s="23" t="s">
        <v>120</v>
      </c>
      <c r="G152" s="23" t="s">
        <v>523</v>
      </c>
      <c r="H152" s="23" t="s">
        <v>165</v>
      </c>
      <c r="I152" s="87"/>
      <c r="J152" s="143">
        <v>520479</v>
      </c>
      <c r="K152" s="143">
        <v>520479</v>
      </c>
      <c r="L152" s="426">
        <v>520479</v>
      </c>
      <c r="M152" s="426">
        <v>520479</v>
      </c>
    </row>
    <row r="153" spans="1:13" ht="47.25">
      <c r="A153" s="66" t="s">
        <v>966</v>
      </c>
      <c r="B153" s="23" t="s">
        <v>128</v>
      </c>
      <c r="C153" s="23" t="s">
        <v>130</v>
      </c>
      <c r="D153" s="23" t="s">
        <v>120</v>
      </c>
      <c r="E153" s="23" t="s">
        <v>60</v>
      </c>
      <c r="F153" s="23" t="s">
        <v>120</v>
      </c>
      <c r="G153" s="23" t="s">
        <v>523</v>
      </c>
      <c r="H153" s="23" t="s">
        <v>111</v>
      </c>
      <c r="I153" s="88"/>
      <c r="J153" s="143">
        <v>18130</v>
      </c>
      <c r="K153" s="143">
        <v>18130</v>
      </c>
      <c r="L153" s="426">
        <v>18130</v>
      </c>
      <c r="M153" s="426">
        <v>18130</v>
      </c>
    </row>
    <row r="154" spans="1:13" ht="21.75" customHeight="1">
      <c r="A154" s="249" t="s">
        <v>255</v>
      </c>
      <c r="B154" s="24" t="s">
        <v>128</v>
      </c>
      <c r="C154" s="24" t="s">
        <v>256</v>
      </c>
      <c r="D154" s="153"/>
      <c r="E154" s="153"/>
      <c r="F154" s="153"/>
      <c r="G154" s="153"/>
      <c r="H154" s="153"/>
      <c r="I154" s="88"/>
      <c r="J154" s="165">
        <f>J155</f>
        <v>0</v>
      </c>
      <c r="K154" s="165">
        <f>K155</f>
        <v>0</v>
      </c>
      <c r="L154" s="424">
        <f>L155</f>
        <v>0</v>
      </c>
      <c r="M154" s="424">
        <f>M155</f>
        <v>0</v>
      </c>
    </row>
    <row r="155" spans="1:13" ht="15.75">
      <c r="A155" s="249" t="s">
        <v>316</v>
      </c>
      <c r="B155" s="24" t="s">
        <v>128</v>
      </c>
      <c r="C155" s="24" t="s">
        <v>329</v>
      </c>
      <c r="D155" s="24"/>
      <c r="E155" s="24"/>
      <c r="F155" s="24"/>
      <c r="G155" s="24"/>
      <c r="H155" s="24"/>
      <c r="I155" s="87"/>
      <c r="J155" s="25">
        <f>J156+J157</f>
        <v>0</v>
      </c>
      <c r="K155" s="25">
        <f>K156+K157</f>
        <v>0</v>
      </c>
      <c r="L155" s="441">
        <f>L156+L157</f>
        <v>0</v>
      </c>
      <c r="M155" s="441">
        <f>M156+M157</f>
        <v>0</v>
      </c>
    </row>
    <row r="156" spans="1:13" ht="78.75">
      <c r="A156" s="162" t="s">
        <v>899</v>
      </c>
      <c r="B156" s="23" t="s">
        <v>128</v>
      </c>
      <c r="C156" s="23" t="s">
        <v>329</v>
      </c>
      <c r="D156" s="23" t="s">
        <v>1381</v>
      </c>
      <c r="E156" s="23" t="s">
        <v>69</v>
      </c>
      <c r="F156" s="23" t="s">
        <v>70</v>
      </c>
      <c r="G156" s="23" t="s">
        <v>540</v>
      </c>
      <c r="H156" s="23" t="s">
        <v>165</v>
      </c>
      <c r="I156" s="73">
        <f>SUM(I157:I160)</f>
        <v>-745</v>
      </c>
      <c r="J156" s="99">
        <v>0</v>
      </c>
      <c r="K156" s="99">
        <v>0</v>
      </c>
      <c r="L156" s="455">
        <v>0</v>
      </c>
      <c r="M156" s="455">
        <v>0</v>
      </c>
    </row>
    <row r="157" spans="1:13" ht="63">
      <c r="A157" s="162" t="s">
        <v>945</v>
      </c>
      <c r="B157" s="23" t="s">
        <v>128</v>
      </c>
      <c r="C157" s="23" t="s">
        <v>329</v>
      </c>
      <c r="D157" s="23" t="s">
        <v>1381</v>
      </c>
      <c r="E157" s="23" t="s">
        <v>69</v>
      </c>
      <c r="F157" s="23" t="s">
        <v>120</v>
      </c>
      <c r="G157" s="23" t="s">
        <v>967</v>
      </c>
      <c r="H157" s="23" t="s">
        <v>165</v>
      </c>
      <c r="I157" s="88"/>
      <c r="J157" s="99">
        <v>0</v>
      </c>
      <c r="K157" s="99">
        <v>0</v>
      </c>
      <c r="L157" s="455">
        <v>0</v>
      </c>
      <c r="M157" s="455">
        <v>0</v>
      </c>
    </row>
    <row r="158" spans="1:13" ht="31.5">
      <c r="A158" s="247" t="s">
        <v>90</v>
      </c>
      <c r="B158" s="248" t="s">
        <v>132</v>
      </c>
      <c r="C158" s="248"/>
      <c r="D158" s="248"/>
      <c r="E158" s="248"/>
      <c r="F158" s="248"/>
      <c r="G158" s="248"/>
      <c r="H158" s="248"/>
      <c r="I158" s="88">
        <v>-745</v>
      </c>
      <c r="J158" s="218">
        <f>J159++J226</f>
        <v>222872828.93000004</v>
      </c>
      <c r="K158" s="218">
        <f>K159++K226</f>
        <v>222872828.93</v>
      </c>
      <c r="L158" s="440">
        <f>L159++L226</f>
        <v>222826628.93</v>
      </c>
      <c r="M158" s="440">
        <f>M159++M226</f>
        <v>222826628.93</v>
      </c>
    </row>
    <row r="159" spans="1:13" ht="15.75">
      <c r="A159" s="249" t="s">
        <v>138</v>
      </c>
      <c r="B159" s="24" t="s">
        <v>132</v>
      </c>
      <c r="C159" s="24" t="s">
        <v>139</v>
      </c>
      <c r="D159" s="24"/>
      <c r="E159" s="24"/>
      <c r="F159" s="24"/>
      <c r="G159" s="24"/>
      <c r="H159" s="24"/>
      <c r="I159" s="88"/>
      <c r="J159" s="25">
        <f>J160+J174+J204+J213+J219</f>
        <v>220620316.13000003</v>
      </c>
      <c r="K159" s="25">
        <f>K160+K174+K204+K213+K219</f>
        <v>220607816.13</v>
      </c>
      <c r="L159" s="441">
        <f>L160+L174+L204+L213+L219</f>
        <v>220574116.13</v>
      </c>
      <c r="M159" s="441">
        <f>M160+M174+M204+M213+M219</f>
        <v>220561616.13</v>
      </c>
    </row>
    <row r="160" spans="1:13" ht="15.75">
      <c r="A160" s="249" t="s">
        <v>133</v>
      </c>
      <c r="B160" s="24" t="s">
        <v>132</v>
      </c>
      <c r="C160" s="24" t="s">
        <v>237</v>
      </c>
      <c r="D160" s="24"/>
      <c r="E160" s="24"/>
      <c r="F160" s="24"/>
      <c r="G160" s="24"/>
      <c r="H160" s="24"/>
      <c r="I160" s="88"/>
      <c r="J160" s="165">
        <f>SUM(J161:J173)</f>
        <v>79142003.64</v>
      </c>
      <c r="K160" s="165">
        <f>SUM(K161:K173)</f>
        <v>79142003.64</v>
      </c>
      <c r="L160" s="424">
        <f>SUM(L161:L173)</f>
        <v>79142003.64</v>
      </c>
      <c r="M160" s="424">
        <f>SUM(M161:M173)</f>
        <v>79142003.64</v>
      </c>
    </row>
    <row r="161" spans="1:13" ht="87.75" customHeight="1">
      <c r="A161" s="264" t="s">
        <v>433</v>
      </c>
      <c r="B161" s="141" t="s">
        <v>132</v>
      </c>
      <c r="C161" s="141" t="s">
        <v>237</v>
      </c>
      <c r="D161" s="141" t="s">
        <v>231</v>
      </c>
      <c r="E161" s="141" t="s">
        <v>69</v>
      </c>
      <c r="F161" s="141" t="s">
        <v>70</v>
      </c>
      <c r="G161" s="141" t="s">
        <v>524</v>
      </c>
      <c r="H161" s="141" t="s">
        <v>110</v>
      </c>
      <c r="I161" s="172"/>
      <c r="J161" s="143">
        <v>3743425.6</v>
      </c>
      <c r="K161" s="143">
        <v>3743425.6</v>
      </c>
      <c r="L161" s="426">
        <v>3743425.6</v>
      </c>
      <c r="M161" s="426">
        <v>3743425.6</v>
      </c>
    </row>
    <row r="162" spans="1:13" ht="129" customHeight="1">
      <c r="A162" s="235" t="s">
        <v>702</v>
      </c>
      <c r="B162" s="141" t="s">
        <v>132</v>
      </c>
      <c r="C162" s="141" t="s">
        <v>237</v>
      </c>
      <c r="D162" s="141" t="s">
        <v>231</v>
      </c>
      <c r="E162" s="141" t="s">
        <v>69</v>
      </c>
      <c r="F162" s="141" t="s">
        <v>70</v>
      </c>
      <c r="G162" s="141" t="s">
        <v>718</v>
      </c>
      <c r="H162" s="141" t="s">
        <v>110</v>
      </c>
      <c r="I162" s="172"/>
      <c r="J162" s="143">
        <v>11006249.37</v>
      </c>
      <c r="K162" s="143">
        <v>11006249.37</v>
      </c>
      <c r="L162" s="426">
        <v>11006249.37</v>
      </c>
      <c r="M162" s="426">
        <v>11006249.37</v>
      </c>
    </row>
    <row r="163" spans="1:13" ht="78.75" customHeight="1">
      <c r="A163" s="235" t="s">
        <v>1161</v>
      </c>
      <c r="B163" s="141" t="s">
        <v>132</v>
      </c>
      <c r="C163" s="141" t="s">
        <v>237</v>
      </c>
      <c r="D163" s="141" t="s">
        <v>231</v>
      </c>
      <c r="E163" s="141" t="s">
        <v>69</v>
      </c>
      <c r="F163" s="141" t="s">
        <v>70</v>
      </c>
      <c r="G163" s="141" t="s">
        <v>1151</v>
      </c>
      <c r="H163" s="141" t="s">
        <v>110</v>
      </c>
      <c r="I163" s="172">
        <v>745</v>
      </c>
      <c r="J163" s="143">
        <v>50000</v>
      </c>
      <c r="K163" s="143">
        <v>50000</v>
      </c>
      <c r="L163" s="426">
        <v>50000</v>
      </c>
      <c r="M163" s="426">
        <v>50000</v>
      </c>
    </row>
    <row r="164" spans="1:13" ht="94.5">
      <c r="A164" s="235" t="s">
        <v>703</v>
      </c>
      <c r="B164" s="141" t="s">
        <v>132</v>
      </c>
      <c r="C164" s="141" t="s">
        <v>237</v>
      </c>
      <c r="D164" s="141" t="s">
        <v>231</v>
      </c>
      <c r="E164" s="141" t="s">
        <v>69</v>
      </c>
      <c r="F164" s="141" t="s">
        <v>70</v>
      </c>
      <c r="G164" s="141" t="s">
        <v>719</v>
      </c>
      <c r="H164" s="141" t="s">
        <v>110</v>
      </c>
      <c r="I164" s="172"/>
      <c r="J164" s="143">
        <v>7189583.41</v>
      </c>
      <c r="K164" s="143">
        <v>7189583.41</v>
      </c>
      <c r="L164" s="426">
        <v>7189583.41</v>
      </c>
      <c r="M164" s="426">
        <v>7189583.41</v>
      </c>
    </row>
    <row r="165" spans="1:13" ht="110.25">
      <c r="A165" s="235" t="s">
        <v>705</v>
      </c>
      <c r="B165" s="141" t="s">
        <v>132</v>
      </c>
      <c r="C165" s="141" t="s">
        <v>237</v>
      </c>
      <c r="D165" s="141" t="s">
        <v>231</v>
      </c>
      <c r="E165" s="141" t="s">
        <v>69</v>
      </c>
      <c r="F165" s="141" t="s">
        <v>70</v>
      </c>
      <c r="G165" s="141" t="s">
        <v>720</v>
      </c>
      <c r="H165" s="141" t="s">
        <v>110</v>
      </c>
      <c r="I165" s="172"/>
      <c r="J165" s="143"/>
      <c r="K165" s="143"/>
      <c r="L165" s="426"/>
      <c r="M165" s="426"/>
    </row>
    <row r="166" spans="1:13" ht="98.25" customHeight="1">
      <c r="A166" s="235" t="s">
        <v>704</v>
      </c>
      <c r="B166" s="141" t="s">
        <v>132</v>
      </c>
      <c r="C166" s="141" t="s">
        <v>237</v>
      </c>
      <c r="D166" s="141" t="s">
        <v>231</v>
      </c>
      <c r="E166" s="141" t="s">
        <v>69</v>
      </c>
      <c r="F166" s="141" t="s">
        <v>70</v>
      </c>
      <c r="G166" s="141" t="s">
        <v>721</v>
      </c>
      <c r="H166" s="141" t="s">
        <v>110</v>
      </c>
      <c r="I166" s="172"/>
      <c r="J166" s="143">
        <v>6085290.54</v>
      </c>
      <c r="K166" s="143">
        <v>6085290.54</v>
      </c>
      <c r="L166" s="426">
        <v>6085290.54</v>
      </c>
      <c r="M166" s="426">
        <v>6085290.54</v>
      </c>
    </row>
    <row r="167" spans="1:13" ht="75.75" customHeight="1">
      <c r="A167" s="264" t="s">
        <v>435</v>
      </c>
      <c r="B167" s="141" t="s">
        <v>132</v>
      </c>
      <c r="C167" s="141" t="s">
        <v>237</v>
      </c>
      <c r="D167" s="141" t="s">
        <v>231</v>
      </c>
      <c r="E167" s="141" t="s">
        <v>69</v>
      </c>
      <c r="F167" s="141" t="s">
        <v>70</v>
      </c>
      <c r="G167" s="141" t="s">
        <v>525</v>
      </c>
      <c r="H167" s="141" t="s">
        <v>110</v>
      </c>
      <c r="I167" s="172"/>
      <c r="J167" s="250">
        <v>5906304.72</v>
      </c>
      <c r="K167" s="250">
        <v>5906304.72</v>
      </c>
      <c r="L167" s="430">
        <v>5906304.72</v>
      </c>
      <c r="M167" s="430">
        <v>5906304.72</v>
      </c>
    </row>
    <row r="168" spans="1:13" ht="81" customHeight="1">
      <c r="A168" s="235" t="s">
        <v>1162</v>
      </c>
      <c r="B168" s="141" t="s">
        <v>132</v>
      </c>
      <c r="C168" s="141" t="s">
        <v>237</v>
      </c>
      <c r="D168" s="141" t="s">
        <v>231</v>
      </c>
      <c r="E168" s="141" t="s">
        <v>69</v>
      </c>
      <c r="F168" s="141" t="s">
        <v>70</v>
      </c>
      <c r="G168" s="141" t="s">
        <v>1152</v>
      </c>
      <c r="H168" s="141" t="s">
        <v>110</v>
      </c>
      <c r="I168" s="172"/>
      <c r="J168" s="143"/>
      <c r="K168" s="143"/>
      <c r="L168" s="426"/>
      <c r="M168" s="426"/>
    </row>
    <row r="169" spans="1:13" ht="96" customHeight="1">
      <c r="A169" s="235" t="s">
        <v>1203</v>
      </c>
      <c r="B169" s="141" t="s">
        <v>132</v>
      </c>
      <c r="C169" s="141" t="s">
        <v>237</v>
      </c>
      <c r="D169" s="141" t="s">
        <v>231</v>
      </c>
      <c r="E169" s="141" t="s">
        <v>69</v>
      </c>
      <c r="F169" s="141" t="s">
        <v>70</v>
      </c>
      <c r="G169" s="141" t="s">
        <v>1183</v>
      </c>
      <c r="H169" s="141" t="s">
        <v>110</v>
      </c>
      <c r="I169" s="145" t="e">
        <f>I170+#REF!+#REF!</f>
        <v>#REF!</v>
      </c>
      <c r="J169" s="143"/>
      <c r="K169" s="143"/>
      <c r="L169" s="426"/>
      <c r="M169" s="426"/>
    </row>
    <row r="170" spans="1:13" ht="63.75" customHeight="1">
      <c r="A170" s="235" t="s">
        <v>1204</v>
      </c>
      <c r="B170" s="141" t="s">
        <v>132</v>
      </c>
      <c r="C170" s="141" t="s">
        <v>237</v>
      </c>
      <c r="D170" s="141" t="s">
        <v>231</v>
      </c>
      <c r="E170" s="141" t="s">
        <v>69</v>
      </c>
      <c r="F170" s="141" t="s">
        <v>70</v>
      </c>
      <c r="G170" s="141" t="s">
        <v>1184</v>
      </c>
      <c r="H170" s="141" t="s">
        <v>110</v>
      </c>
      <c r="I170" s="172"/>
      <c r="J170" s="143"/>
      <c r="K170" s="143"/>
      <c r="L170" s="426"/>
      <c r="M170" s="426"/>
    </row>
    <row r="171" spans="1:13" ht="96.75" customHeight="1">
      <c r="A171" s="264" t="s">
        <v>1042</v>
      </c>
      <c r="B171" s="141" t="s">
        <v>132</v>
      </c>
      <c r="C171" s="141" t="s">
        <v>237</v>
      </c>
      <c r="D171" s="141" t="s">
        <v>1043</v>
      </c>
      <c r="E171" s="141" t="s">
        <v>69</v>
      </c>
      <c r="F171" s="141" t="s">
        <v>70</v>
      </c>
      <c r="G171" s="141" t="s">
        <v>1044</v>
      </c>
      <c r="H171" s="141" t="s">
        <v>110</v>
      </c>
      <c r="I171" s="172"/>
      <c r="J171" s="143"/>
      <c r="K171" s="143"/>
      <c r="L171" s="426"/>
      <c r="M171" s="426"/>
    </row>
    <row r="172" spans="1:13" ht="156.75" customHeight="1">
      <c r="A172" s="288" t="s">
        <v>437</v>
      </c>
      <c r="B172" s="141" t="s">
        <v>132</v>
      </c>
      <c r="C172" s="141" t="s">
        <v>237</v>
      </c>
      <c r="D172" s="141" t="s">
        <v>231</v>
      </c>
      <c r="E172" s="141" t="s">
        <v>69</v>
      </c>
      <c r="F172" s="141" t="s">
        <v>70</v>
      </c>
      <c r="G172" s="141" t="s">
        <v>526</v>
      </c>
      <c r="H172" s="141" t="s">
        <v>110</v>
      </c>
      <c r="I172" s="269">
        <f>SUM(I173:I177)</f>
        <v>0</v>
      </c>
      <c r="J172" s="143">
        <v>293256</v>
      </c>
      <c r="K172" s="143">
        <v>293256</v>
      </c>
      <c r="L172" s="426">
        <v>293256</v>
      </c>
      <c r="M172" s="426">
        <v>293256</v>
      </c>
    </row>
    <row r="173" spans="1:13" ht="144" customHeight="1">
      <c r="A173" s="237" t="s">
        <v>1395</v>
      </c>
      <c r="B173" s="141" t="s">
        <v>132</v>
      </c>
      <c r="C173" s="141" t="s">
        <v>237</v>
      </c>
      <c r="D173" s="141" t="s">
        <v>231</v>
      </c>
      <c r="E173" s="141" t="s">
        <v>69</v>
      </c>
      <c r="F173" s="141" t="s">
        <v>70</v>
      </c>
      <c r="G173" s="141" t="s">
        <v>527</v>
      </c>
      <c r="H173" s="141" t="s">
        <v>110</v>
      </c>
      <c r="I173" s="273"/>
      <c r="J173" s="143">
        <v>44867894</v>
      </c>
      <c r="K173" s="143">
        <v>44867894</v>
      </c>
      <c r="L173" s="426">
        <v>44867894</v>
      </c>
      <c r="M173" s="426">
        <v>44867894</v>
      </c>
    </row>
    <row r="174" spans="1:13" ht="20.25" customHeight="1">
      <c r="A174" s="249" t="s">
        <v>238</v>
      </c>
      <c r="B174" s="24" t="s">
        <v>132</v>
      </c>
      <c r="C174" s="24" t="s">
        <v>239</v>
      </c>
      <c r="D174" s="24"/>
      <c r="E174" s="24"/>
      <c r="F174" s="24"/>
      <c r="G174" s="24"/>
      <c r="H174" s="24"/>
      <c r="I174" s="93"/>
      <c r="J174" s="165">
        <f>J175+J188+J195+J196+J197+J198+J199+J200+J201+J202+J203</f>
        <v>130645272.78</v>
      </c>
      <c r="K174" s="165">
        <f>K175+K188+K195+K196+K197+K198+K199+K200+K201+K202+K203</f>
        <v>130645955.98</v>
      </c>
      <c r="L174" s="424">
        <f>L175+L188+L195+L196+L197+L198+L199+L200+L201+L202+L203</f>
        <v>130645955.98</v>
      </c>
      <c r="M174" s="424">
        <f>M175+M188+M195+M196+M197+M198+M199+M200+M201+M202+M203</f>
        <v>130645955.98</v>
      </c>
    </row>
    <row r="175" spans="1:13" ht="15.75">
      <c r="A175" s="257" t="s">
        <v>48</v>
      </c>
      <c r="B175" s="21" t="s">
        <v>132</v>
      </c>
      <c r="C175" s="21" t="s">
        <v>239</v>
      </c>
      <c r="D175" s="21"/>
      <c r="E175" s="21"/>
      <c r="F175" s="21"/>
      <c r="G175" s="21"/>
      <c r="H175" s="21"/>
      <c r="I175" s="93"/>
      <c r="J175" s="165">
        <f>SUM(J176:J187)</f>
        <v>29634065.75</v>
      </c>
      <c r="K175" s="165">
        <f>SUM(K176:K187)</f>
        <v>29634293.490000002</v>
      </c>
      <c r="L175" s="424">
        <f>SUM(L176:L187)</f>
        <v>29634293.490000002</v>
      </c>
      <c r="M175" s="424">
        <f>SUM(M176:M187)</f>
        <v>29634293.490000002</v>
      </c>
    </row>
    <row r="176" spans="1:13" ht="78.75">
      <c r="A176" s="235" t="s">
        <v>443</v>
      </c>
      <c r="B176" s="141" t="s">
        <v>132</v>
      </c>
      <c r="C176" s="141" t="s">
        <v>239</v>
      </c>
      <c r="D176" s="141" t="s">
        <v>231</v>
      </c>
      <c r="E176" s="141" t="s">
        <v>60</v>
      </c>
      <c r="F176" s="141" t="s">
        <v>70</v>
      </c>
      <c r="G176" s="141" t="s">
        <v>528</v>
      </c>
      <c r="H176" s="141" t="s">
        <v>110</v>
      </c>
      <c r="I176" s="273"/>
      <c r="J176" s="143">
        <v>6510044.79</v>
      </c>
      <c r="K176" s="143">
        <v>6510272.53</v>
      </c>
      <c r="L176" s="426">
        <v>6510272.53</v>
      </c>
      <c r="M176" s="426">
        <v>6510272.53</v>
      </c>
    </row>
    <row r="177" spans="1:13" ht="110.25">
      <c r="A177" s="237" t="s">
        <v>706</v>
      </c>
      <c r="B177" s="141" t="s">
        <v>132</v>
      </c>
      <c r="C177" s="141" t="s">
        <v>239</v>
      </c>
      <c r="D177" s="141" t="s">
        <v>231</v>
      </c>
      <c r="E177" s="141" t="s">
        <v>60</v>
      </c>
      <c r="F177" s="141" t="s">
        <v>70</v>
      </c>
      <c r="G177" s="141" t="s">
        <v>722</v>
      </c>
      <c r="H177" s="141" t="s">
        <v>110</v>
      </c>
      <c r="I177" s="172"/>
      <c r="J177" s="143">
        <v>6193210.77</v>
      </c>
      <c r="K177" s="143">
        <v>6193210.77</v>
      </c>
      <c r="L177" s="426">
        <v>6193210.77</v>
      </c>
      <c r="M177" s="426">
        <v>6193210.77</v>
      </c>
    </row>
    <row r="178" spans="1:13" ht="75" customHeight="1">
      <c r="A178" s="237" t="s">
        <v>707</v>
      </c>
      <c r="B178" s="141" t="s">
        <v>132</v>
      </c>
      <c r="C178" s="141" t="s">
        <v>239</v>
      </c>
      <c r="D178" s="141" t="s">
        <v>231</v>
      </c>
      <c r="E178" s="141" t="s">
        <v>60</v>
      </c>
      <c r="F178" s="141" t="s">
        <v>70</v>
      </c>
      <c r="G178" s="141" t="s">
        <v>723</v>
      </c>
      <c r="H178" s="141" t="s">
        <v>110</v>
      </c>
      <c r="I178" s="269">
        <f>SUM(I179:I181)</f>
        <v>0</v>
      </c>
      <c r="J178" s="143">
        <v>7436808.27</v>
      </c>
      <c r="K178" s="143">
        <v>7436808.27</v>
      </c>
      <c r="L178" s="426">
        <v>7436808.27</v>
      </c>
      <c r="M178" s="426">
        <v>7436808.27</v>
      </c>
    </row>
    <row r="179" spans="1:13" ht="78.75">
      <c r="A179" s="237" t="s">
        <v>1163</v>
      </c>
      <c r="B179" s="141" t="s">
        <v>132</v>
      </c>
      <c r="C179" s="141" t="s">
        <v>239</v>
      </c>
      <c r="D179" s="141" t="s">
        <v>231</v>
      </c>
      <c r="E179" s="141" t="s">
        <v>60</v>
      </c>
      <c r="F179" s="141" t="s">
        <v>70</v>
      </c>
      <c r="G179" s="141" t="s">
        <v>1153</v>
      </c>
      <c r="H179" s="141" t="s">
        <v>110</v>
      </c>
      <c r="I179" s="172"/>
      <c r="J179" s="267">
        <v>535135.19</v>
      </c>
      <c r="K179" s="267">
        <v>535135.19</v>
      </c>
      <c r="L179" s="442">
        <v>535135.19</v>
      </c>
      <c r="M179" s="442">
        <v>535135.19</v>
      </c>
    </row>
    <row r="180" spans="1:13" ht="78.75">
      <c r="A180" s="237" t="s">
        <v>1164</v>
      </c>
      <c r="B180" s="141" t="s">
        <v>132</v>
      </c>
      <c r="C180" s="141" t="s">
        <v>239</v>
      </c>
      <c r="D180" s="141" t="s">
        <v>231</v>
      </c>
      <c r="E180" s="141" t="s">
        <v>60</v>
      </c>
      <c r="F180" s="141" t="s">
        <v>70</v>
      </c>
      <c r="G180" s="141" t="s">
        <v>1154</v>
      </c>
      <c r="H180" s="141" t="s">
        <v>110</v>
      </c>
      <c r="I180" s="172"/>
      <c r="J180" s="143">
        <v>0</v>
      </c>
      <c r="K180" s="143">
        <v>0</v>
      </c>
      <c r="L180" s="426">
        <v>0</v>
      </c>
      <c r="M180" s="426">
        <v>0</v>
      </c>
    </row>
    <row r="181" spans="1:13" ht="94.5">
      <c r="A181" s="237" t="s">
        <v>1165</v>
      </c>
      <c r="B181" s="141" t="s">
        <v>132</v>
      </c>
      <c r="C181" s="141" t="s">
        <v>239</v>
      </c>
      <c r="D181" s="141" t="s">
        <v>231</v>
      </c>
      <c r="E181" s="141" t="s">
        <v>60</v>
      </c>
      <c r="F181" s="141" t="s">
        <v>70</v>
      </c>
      <c r="G181" s="141" t="s">
        <v>1155</v>
      </c>
      <c r="H181" s="141" t="s">
        <v>110</v>
      </c>
      <c r="I181" s="172"/>
      <c r="J181" s="267"/>
      <c r="K181" s="267"/>
      <c r="L181" s="442"/>
      <c r="M181" s="442"/>
    </row>
    <row r="182" spans="1:13" ht="63">
      <c r="A182" s="237" t="s">
        <v>1205</v>
      </c>
      <c r="B182" s="141" t="s">
        <v>132</v>
      </c>
      <c r="C182" s="141" t="s">
        <v>239</v>
      </c>
      <c r="D182" s="141" t="s">
        <v>231</v>
      </c>
      <c r="E182" s="141" t="s">
        <v>60</v>
      </c>
      <c r="F182" s="141" t="s">
        <v>70</v>
      </c>
      <c r="G182" s="141" t="s">
        <v>1187</v>
      </c>
      <c r="H182" s="141" t="s">
        <v>110</v>
      </c>
      <c r="I182" s="172"/>
      <c r="J182" s="267"/>
      <c r="K182" s="267"/>
      <c r="L182" s="442"/>
      <c r="M182" s="442"/>
    </row>
    <row r="183" spans="1:13" ht="110.25">
      <c r="A183" s="162" t="s">
        <v>708</v>
      </c>
      <c r="B183" s="23" t="s">
        <v>132</v>
      </c>
      <c r="C183" s="23" t="s">
        <v>239</v>
      </c>
      <c r="D183" s="23" t="s">
        <v>231</v>
      </c>
      <c r="E183" s="23" t="s">
        <v>60</v>
      </c>
      <c r="F183" s="23" t="s">
        <v>70</v>
      </c>
      <c r="G183" s="23" t="s">
        <v>724</v>
      </c>
      <c r="H183" s="23" t="s">
        <v>110</v>
      </c>
      <c r="I183" s="87"/>
      <c r="J183" s="34"/>
      <c r="K183" s="34"/>
      <c r="L183" s="453"/>
      <c r="M183" s="453"/>
    </row>
    <row r="184" spans="1:13" ht="94.5">
      <c r="A184" s="237" t="s">
        <v>709</v>
      </c>
      <c r="B184" s="141" t="s">
        <v>132</v>
      </c>
      <c r="C184" s="141" t="s">
        <v>239</v>
      </c>
      <c r="D184" s="141" t="s">
        <v>231</v>
      </c>
      <c r="E184" s="141" t="s">
        <v>60</v>
      </c>
      <c r="F184" s="141" t="s">
        <v>70</v>
      </c>
      <c r="G184" s="141" t="s">
        <v>725</v>
      </c>
      <c r="H184" s="141" t="s">
        <v>110</v>
      </c>
      <c r="I184" s="269">
        <f>I185</f>
        <v>0</v>
      </c>
      <c r="J184" s="143">
        <v>6864666.73</v>
      </c>
      <c r="K184" s="143">
        <v>6864666.73</v>
      </c>
      <c r="L184" s="426">
        <v>6864666.73</v>
      </c>
      <c r="M184" s="426">
        <v>6864666.73</v>
      </c>
    </row>
    <row r="185" spans="1:13" ht="78.75">
      <c r="A185" s="237" t="s">
        <v>573</v>
      </c>
      <c r="B185" s="141" t="s">
        <v>132</v>
      </c>
      <c r="C185" s="141" t="s">
        <v>239</v>
      </c>
      <c r="D185" s="141" t="s">
        <v>231</v>
      </c>
      <c r="E185" s="141" t="s">
        <v>60</v>
      </c>
      <c r="F185" s="141" t="s">
        <v>70</v>
      </c>
      <c r="G185" s="141" t="s">
        <v>576</v>
      </c>
      <c r="H185" s="141" t="s">
        <v>110</v>
      </c>
      <c r="I185" s="269">
        <f>SUM(I186:I187)</f>
        <v>0</v>
      </c>
      <c r="J185" s="143">
        <v>1744200</v>
      </c>
      <c r="K185" s="143">
        <v>1744200</v>
      </c>
      <c r="L185" s="426">
        <v>1744200</v>
      </c>
      <c r="M185" s="426">
        <v>1744200</v>
      </c>
    </row>
    <row r="186" spans="1:13" ht="102.75" customHeight="1">
      <c r="A186" s="237" t="s">
        <v>700</v>
      </c>
      <c r="B186" s="141" t="s">
        <v>132</v>
      </c>
      <c r="C186" s="141" t="s">
        <v>239</v>
      </c>
      <c r="D186" s="141">
        <v>11</v>
      </c>
      <c r="E186" s="141" t="s">
        <v>69</v>
      </c>
      <c r="F186" s="141" t="s">
        <v>70</v>
      </c>
      <c r="G186" s="141" t="s">
        <v>530</v>
      </c>
      <c r="H186" s="141" t="s">
        <v>110</v>
      </c>
      <c r="I186" s="172"/>
      <c r="J186" s="143">
        <v>350000</v>
      </c>
      <c r="K186" s="143">
        <v>350000</v>
      </c>
      <c r="L186" s="426">
        <v>350000</v>
      </c>
      <c r="M186" s="426">
        <v>350000</v>
      </c>
    </row>
    <row r="187" spans="1:13" ht="99" customHeight="1">
      <c r="A187" s="289" t="s">
        <v>1001</v>
      </c>
      <c r="B187" s="141" t="s">
        <v>132</v>
      </c>
      <c r="C187" s="141" t="s">
        <v>239</v>
      </c>
      <c r="D187" s="141" t="s">
        <v>231</v>
      </c>
      <c r="E187" s="141" t="s">
        <v>60</v>
      </c>
      <c r="F187" s="141" t="s">
        <v>70</v>
      </c>
      <c r="G187" s="141" t="s">
        <v>1002</v>
      </c>
      <c r="H187" s="141" t="s">
        <v>110</v>
      </c>
      <c r="I187" s="172"/>
      <c r="J187" s="267"/>
      <c r="K187" s="267"/>
      <c r="L187" s="442"/>
      <c r="M187" s="442"/>
    </row>
    <row r="188" spans="1:13" ht="15.75">
      <c r="A188" s="499" t="s">
        <v>296</v>
      </c>
      <c r="B188" s="21" t="s">
        <v>132</v>
      </c>
      <c r="C188" s="21" t="s">
        <v>239</v>
      </c>
      <c r="D188" s="21"/>
      <c r="E188" s="21"/>
      <c r="F188" s="21"/>
      <c r="G188" s="21"/>
      <c r="H188" s="21"/>
      <c r="I188" s="25">
        <f>SUM(I189:I192)</f>
        <v>-275.2</v>
      </c>
      <c r="J188" s="274">
        <f>SUM(J189:J194)</f>
        <v>17535187.03</v>
      </c>
      <c r="K188" s="274">
        <f>SUM(K189:K194)</f>
        <v>17535642.490000002</v>
      </c>
      <c r="L188" s="274">
        <f>SUM(L189:L194)</f>
        <v>17535642.490000002</v>
      </c>
      <c r="M188" s="274">
        <f>SUM(M189:M194)</f>
        <v>17535642.490000002</v>
      </c>
    </row>
    <row r="189" spans="1:13" ht="100.5" customHeight="1">
      <c r="A189" s="235" t="s">
        <v>531</v>
      </c>
      <c r="B189" s="141" t="s">
        <v>132</v>
      </c>
      <c r="C189" s="141" t="s">
        <v>239</v>
      </c>
      <c r="D189" s="141" t="s">
        <v>231</v>
      </c>
      <c r="E189" s="141" t="s">
        <v>60</v>
      </c>
      <c r="F189" s="141" t="s">
        <v>70</v>
      </c>
      <c r="G189" s="141" t="s">
        <v>532</v>
      </c>
      <c r="H189" s="141" t="s">
        <v>164</v>
      </c>
      <c r="I189" s="172"/>
      <c r="J189" s="143">
        <v>5582697.84</v>
      </c>
      <c r="K189" s="143">
        <v>5582697.84</v>
      </c>
      <c r="L189" s="426">
        <v>5582697.84</v>
      </c>
      <c r="M189" s="426">
        <v>5582697.84</v>
      </c>
    </row>
    <row r="190" spans="1:15" ht="51.75" customHeight="1">
      <c r="A190" s="235" t="s">
        <v>605</v>
      </c>
      <c r="B190" s="141" t="s">
        <v>132</v>
      </c>
      <c r="C190" s="141" t="s">
        <v>239</v>
      </c>
      <c r="D190" s="141" t="s">
        <v>231</v>
      </c>
      <c r="E190" s="141" t="s">
        <v>60</v>
      </c>
      <c r="F190" s="141" t="s">
        <v>70</v>
      </c>
      <c r="G190" s="141" t="s">
        <v>532</v>
      </c>
      <c r="H190" s="141" t="s">
        <v>165</v>
      </c>
      <c r="I190" s="172"/>
      <c r="J190" s="267">
        <v>9970553.27</v>
      </c>
      <c r="K190" s="267">
        <v>9971008.73</v>
      </c>
      <c r="L190" s="442">
        <v>9971008.73</v>
      </c>
      <c r="M190" s="442">
        <v>9971008.73</v>
      </c>
      <c r="O190" s="193"/>
    </row>
    <row r="191" spans="1:13" ht="33" customHeight="1">
      <c r="A191" s="235" t="s">
        <v>447</v>
      </c>
      <c r="B191" s="141" t="s">
        <v>132</v>
      </c>
      <c r="C191" s="141" t="s">
        <v>239</v>
      </c>
      <c r="D191" s="141" t="s">
        <v>231</v>
      </c>
      <c r="E191" s="141" t="s">
        <v>60</v>
      </c>
      <c r="F191" s="141" t="s">
        <v>70</v>
      </c>
      <c r="G191" s="141" t="s">
        <v>532</v>
      </c>
      <c r="H191" s="141" t="s">
        <v>166</v>
      </c>
      <c r="I191" s="172"/>
      <c r="J191" s="143">
        <v>202935.92</v>
      </c>
      <c r="K191" s="143">
        <v>202935.92</v>
      </c>
      <c r="L191" s="426">
        <v>202935.92</v>
      </c>
      <c r="M191" s="426">
        <v>202935.92</v>
      </c>
    </row>
    <row r="192" spans="1:13" ht="63">
      <c r="A192" s="237" t="s">
        <v>606</v>
      </c>
      <c r="B192" s="141" t="s">
        <v>132</v>
      </c>
      <c r="C192" s="141" t="s">
        <v>239</v>
      </c>
      <c r="D192" s="141" t="s">
        <v>231</v>
      </c>
      <c r="E192" s="141" t="s">
        <v>60</v>
      </c>
      <c r="F192" s="141" t="s">
        <v>70</v>
      </c>
      <c r="G192" s="141" t="s">
        <v>577</v>
      </c>
      <c r="H192" s="141" t="s">
        <v>165</v>
      </c>
      <c r="I192" s="269">
        <f>I193</f>
        <v>-275.2</v>
      </c>
      <c r="J192" s="143">
        <v>323000</v>
      </c>
      <c r="K192" s="143">
        <v>323000</v>
      </c>
      <c r="L192" s="426">
        <v>323000</v>
      </c>
      <c r="M192" s="426">
        <v>323000</v>
      </c>
    </row>
    <row r="193" spans="1:13" ht="110.25">
      <c r="A193" s="237" t="s">
        <v>747</v>
      </c>
      <c r="B193" s="141" t="s">
        <v>132</v>
      </c>
      <c r="C193" s="141" t="s">
        <v>239</v>
      </c>
      <c r="D193" s="141">
        <v>11</v>
      </c>
      <c r="E193" s="141" t="s">
        <v>69</v>
      </c>
      <c r="F193" s="141" t="s">
        <v>70</v>
      </c>
      <c r="G193" s="141" t="s">
        <v>701</v>
      </c>
      <c r="H193" s="141" t="s">
        <v>164</v>
      </c>
      <c r="I193" s="269">
        <f>SUM(I195:I199)</f>
        <v>-275.2</v>
      </c>
      <c r="J193" s="143">
        <v>56000</v>
      </c>
      <c r="K193" s="143">
        <v>56000</v>
      </c>
      <c r="L193" s="426">
        <v>56000</v>
      </c>
      <c r="M193" s="426">
        <v>56000</v>
      </c>
    </row>
    <row r="194" spans="1:13" ht="67.5" customHeight="1">
      <c r="A194" s="237" t="s">
        <v>607</v>
      </c>
      <c r="B194" s="141" t="s">
        <v>132</v>
      </c>
      <c r="C194" s="141" t="s">
        <v>239</v>
      </c>
      <c r="D194" s="141" t="s">
        <v>231</v>
      </c>
      <c r="E194" s="141" t="s">
        <v>60</v>
      </c>
      <c r="F194" s="141" t="s">
        <v>70</v>
      </c>
      <c r="G194" s="141" t="s">
        <v>533</v>
      </c>
      <c r="H194" s="141" t="s">
        <v>165</v>
      </c>
      <c r="I194" s="269"/>
      <c r="J194" s="143">
        <v>1400000</v>
      </c>
      <c r="K194" s="143">
        <v>1400000</v>
      </c>
      <c r="L194" s="426">
        <v>1400000</v>
      </c>
      <c r="M194" s="426">
        <v>1400000</v>
      </c>
    </row>
    <row r="195" spans="1:13" ht="114.75" customHeight="1">
      <c r="A195" s="235" t="s">
        <v>731</v>
      </c>
      <c r="B195" s="141" t="s">
        <v>132</v>
      </c>
      <c r="C195" s="141" t="s">
        <v>239</v>
      </c>
      <c r="D195" s="141" t="s">
        <v>231</v>
      </c>
      <c r="E195" s="141" t="s">
        <v>60</v>
      </c>
      <c r="F195" s="141" t="s">
        <v>70</v>
      </c>
      <c r="G195" s="141" t="s">
        <v>534</v>
      </c>
      <c r="H195" s="141" t="s">
        <v>165</v>
      </c>
      <c r="I195" s="172">
        <v>-216</v>
      </c>
      <c r="J195" s="267">
        <v>35942</v>
      </c>
      <c r="K195" s="267">
        <v>35942</v>
      </c>
      <c r="L195" s="442">
        <v>35942</v>
      </c>
      <c r="M195" s="442">
        <v>35942</v>
      </c>
    </row>
    <row r="196" spans="1:13" ht="209.25" customHeight="1">
      <c r="A196" s="237" t="s">
        <v>732</v>
      </c>
      <c r="B196" s="141" t="s">
        <v>132</v>
      </c>
      <c r="C196" s="141" t="s">
        <v>239</v>
      </c>
      <c r="D196" s="141" t="s">
        <v>231</v>
      </c>
      <c r="E196" s="141" t="s">
        <v>60</v>
      </c>
      <c r="F196" s="141" t="s">
        <v>70</v>
      </c>
      <c r="G196" s="141" t="s">
        <v>535</v>
      </c>
      <c r="H196" s="141" t="s">
        <v>164</v>
      </c>
      <c r="I196" s="172">
        <v>-53.2</v>
      </c>
      <c r="J196" s="267">
        <v>14929201</v>
      </c>
      <c r="K196" s="267">
        <v>14929201</v>
      </c>
      <c r="L196" s="442">
        <v>14929201</v>
      </c>
      <c r="M196" s="442">
        <v>14929201</v>
      </c>
    </row>
    <row r="197" spans="1:13" ht="177.75" customHeight="1">
      <c r="A197" s="237" t="s">
        <v>733</v>
      </c>
      <c r="B197" s="141" t="s">
        <v>132</v>
      </c>
      <c r="C197" s="141" t="s">
        <v>239</v>
      </c>
      <c r="D197" s="141" t="s">
        <v>231</v>
      </c>
      <c r="E197" s="141" t="s">
        <v>60</v>
      </c>
      <c r="F197" s="141" t="s">
        <v>70</v>
      </c>
      <c r="G197" s="141" t="s">
        <v>535</v>
      </c>
      <c r="H197" s="141" t="s">
        <v>165</v>
      </c>
      <c r="I197" s="172">
        <v>-6</v>
      </c>
      <c r="J197" s="267">
        <v>162328</v>
      </c>
      <c r="K197" s="267">
        <v>162328</v>
      </c>
      <c r="L197" s="442">
        <v>162328</v>
      </c>
      <c r="M197" s="442">
        <v>162328</v>
      </c>
    </row>
    <row r="198" spans="1:13" ht="156" customHeight="1">
      <c r="A198" s="237" t="s">
        <v>734</v>
      </c>
      <c r="B198" s="141" t="s">
        <v>132</v>
      </c>
      <c r="C198" s="141" t="s">
        <v>239</v>
      </c>
      <c r="D198" s="141" t="s">
        <v>231</v>
      </c>
      <c r="E198" s="141" t="s">
        <v>60</v>
      </c>
      <c r="F198" s="141" t="s">
        <v>70</v>
      </c>
      <c r="G198" s="141" t="s">
        <v>535</v>
      </c>
      <c r="H198" s="141" t="s">
        <v>110</v>
      </c>
      <c r="I198" s="172"/>
      <c r="J198" s="267">
        <v>61615512</v>
      </c>
      <c r="K198" s="267">
        <v>61615512</v>
      </c>
      <c r="L198" s="442">
        <v>61615512</v>
      </c>
      <c r="M198" s="442">
        <v>61615512</v>
      </c>
    </row>
    <row r="199" spans="1:13" ht="79.5" customHeight="1">
      <c r="A199" s="237" t="s">
        <v>1000</v>
      </c>
      <c r="B199" s="141" t="s">
        <v>132</v>
      </c>
      <c r="C199" s="141" t="s">
        <v>239</v>
      </c>
      <c r="D199" s="141" t="s">
        <v>231</v>
      </c>
      <c r="E199" s="141" t="s">
        <v>60</v>
      </c>
      <c r="F199" s="141" t="s">
        <v>70</v>
      </c>
      <c r="G199" s="141" t="s">
        <v>998</v>
      </c>
      <c r="H199" s="141" t="s">
        <v>165</v>
      </c>
      <c r="I199" s="172"/>
      <c r="J199" s="267"/>
      <c r="K199" s="267"/>
      <c r="L199" s="442"/>
      <c r="M199" s="442"/>
    </row>
    <row r="200" spans="1:13" ht="80.25" customHeight="1">
      <c r="A200" s="237" t="s">
        <v>1001</v>
      </c>
      <c r="B200" s="141" t="s">
        <v>132</v>
      </c>
      <c r="C200" s="141" t="s">
        <v>239</v>
      </c>
      <c r="D200" s="141" t="s">
        <v>231</v>
      </c>
      <c r="E200" s="141" t="s">
        <v>60</v>
      </c>
      <c r="F200" s="141" t="s">
        <v>70</v>
      </c>
      <c r="G200" s="141" t="s">
        <v>998</v>
      </c>
      <c r="H200" s="141" t="s">
        <v>110</v>
      </c>
      <c r="I200" s="172"/>
      <c r="J200" s="267"/>
      <c r="K200" s="267"/>
      <c r="L200" s="442"/>
      <c r="M200" s="442"/>
    </row>
    <row r="201" spans="1:13" ht="60.75" customHeight="1">
      <c r="A201" s="237" t="s">
        <v>1211</v>
      </c>
      <c r="B201" s="141" t="s">
        <v>132</v>
      </c>
      <c r="C201" s="141" t="s">
        <v>239</v>
      </c>
      <c r="D201" s="141" t="s">
        <v>529</v>
      </c>
      <c r="E201" s="141" t="s">
        <v>119</v>
      </c>
      <c r="F201" s="141" t="s">
        <v>1247</v>
      </c>
      <c r="G201" s="141" t="s">
        <v>1248</v>
      </c>
      <c r="H201" s="141" t="s">
        <v>165</v>
      </c>
      <c r="I201" s="172"/>
      <c r="J201" s="267"/>
      <c r="K201" s="267"/>
      <c r="L201" s="442"/>
      <c r="M201" s="442"/>
    </row>
    <row r="202" spans="1:13" ht="78.75">
      <c r="A202" s="235" t="s">
        <v>1223</v>
      </c>
      <c r="B202" s="141" t="s">
        <v>132</v>
      </c>
      <c r="C202" s="141" t="s">
        <v>239</v>
      </c>
      <c r="D202" s="141" t="s">
        <v>529</v>
      </c>
      <c r="E202" s="141" t="s">
        <v>119</v>
      </c>
      <c r="F202" s="141" t="s">
        <v>500</v>
      </c>
      <c r="G202" s="141" t="s">
        <v>1222</v>
      </c>
      <c r="H202" s="141" t="s">
        <v>165</v>
      </c>
      <c r="I202" s="290"/>
      <c r="J202" s="267"/>
      <c r="K202" s="267"/>
      <c r="L202" s="442"/>
      <c r="M202" s="442"/>
    </row>
    <row r="203" spans="1:13" ht="179.25" customHeight="1">
      <c r="A203" s="237" t="s">
        <v>480</v>
      </c>
      <c r="B203" s="141" t="s">
        <v>132</v>
      </c>
      <c r="C203" s="141" t="s">
        <v>239</v>
      </c>
      <c r="D203" s="141" t="s">
        <v>163</v>
      </c>
      <c r="E203" s="141" t="s">
        <v>119</v>
      </c>
      <c r="F203" s="141" t="s">
        <v>500</v>
      </c>
      <c r="G203" s="141" t="s">
        <v>536</v>
      </c>
      <c r="H203" s="141" t="s">
        <v>110</v>
      </c>
      <c r="I203" s="290"/>
      <c r="J203" s="267">
        <v>6733037</v>
      </c>
      <c r="K203" s="267">
        <v>6733037</v>
      </c>
      <c r="L203" s="442">
        <v>6733037</v>
      </c>
      <c r="M203" s="442">
        <v>6733037</v>
      </c>
    </row>
    <row r="204" spans="1:13" ht="21" customHeight="1">
      <c r="A204" s="160" t="s">
        <v>728</v>
      </c>
      <c r="B204" s="24" t="s">
        <v>132</v>
      </c>
      <c r="C204" s="24" t="s">
        <v>727</v>
      </c>
      <c r="D204" s="24"/>
      <c r="E204" s="24"/>
      <c r="F204" s="24"/>
      <c r="G204" s="24"/>
      <c r="H204" s="24"/>
      <c r="I204" s="87"/>
      <c r="J204" s="255">
        <f>SUM(J205:J212)</f>
        <v>5043260.25</v>
      </c>
      <c r="K204" s="255">
        <f>SUM(K205:K212)</f>
        <v>5043260.25</v>
      </c>
      <c r="L204" s="443">
        <f>SUM(L205:L212)</f>
        <v>5043260.25</v>
      </c>
      <c r="M204" s="443">
        <f>SUM(M205:M212)</f>
        <v>5043260.25</v>
      </c>
    </row>
    <row r="205" spans="1:13" ht="84.75" customHeight="1">
      <c r="A205" s="237" t="s">
        <v>537</v>
      </c>
      <c r="B205" s="141" t="s">
        <v>132</v>
      </c>
      <c r="C205" s="141" t="s">
        <v>727</v>
      </c>
      <c r="D205" s="141" t="s">
        <v>231</v>
      </c>
      <c r="E205" s="141" t="s">
        <v>233</v>
      </c>
      <c r="F205" s="141" t="s">
        <v>70</v>
      </c>
      <c r="G205" s="141" t="s">
        <v>538</v>
      </c>
      <c r="H205" s="141" t="s">
        <v>110</v>
      </c>
      <c r="I205" s="269">
        <f>I207</f>
        <v>1400</v>
      </c>
      <c r="J205" s="250">
        <v>4905060.25</v>
      </c>
      <c r="K205" s="250">
        <v>4905060.25</v>
      </c>
      <c r="L205" s="430">
        <v>4905060.25</v>
      </c>
      <c r="M205" s="430">
        <v>4905060.25</v>
      </c>
    </row>
    <row r="206" spans="1:13" ht="102" customHeight="1">
      <c r="A206" s="237" t="s">
        <v>871</v>
      </c>
      <c r="B206" s="141" t="s">
        <v>132</v>
      </c>
      <c r="C206" s="141" t="s">
        <v>727</v>
      </c>
      <c r="D206" s="141" t="s">
        <v>231</v>
      </c>
      <c r="E206" s="141" t="s">
        <v>233</v>
      </c>
      <c r="F206" s="141" t="s">
        <v>70</v>
      </c>
      <c r="G206" s="141" t="s">
        <v>873</v>
      </c>
      <c r="H206" s="141" t="s">
        <v>110</v>
      </c>
      <c r="I206" s="269"/>
      <c r="J206" s="146"/>
      <c r="K206" s="146"/>
      <c r="L206" s="444"/>
      <c r="M206" s="444"/>
    </row>
    <row r="207" spans="1:13" ht="110.25">
      <c r="A207" s="237" t="s">
        <v>726</v>
      </c>
      <c r="B207" s="141" t="s">
        <v>132</v>
      </c>
      <c r="C207" s="141" t="s">
        <v>727</v>
      </c>
      <c r="D207" s="141" t="s">
        <v>231</v>
      </c>
      <c r="E207" s="141" t="s">
        <v>233</v>
      </c>
      <c r="F207" s="141" t="s">
        <v>70</v>
      </c>
      <c r="G207" s="141" t="s">
        <v>539</v>
      </c>
      <c r="H207" s="141" t="s">
        <v>110</v>
      </c>
      <c r="I207" s="269">
        <f>SUM(I208:I209)</f>
        <v>1400</v>
      </c>
      <c r="J207" s="146">
        <v>0</v>
      </c>
      <c r="K207" s="146">
        <v>0</v>
      </c>
      <c r="L207" s="444">
        <v>0</v>
      </c>
      <c r="M207" s="444">
        <v>0</v>
      </c>
    </row>
    <row r="208" spans="1:13" ht="78.75">
      <c r="A208" s="237" t="s">
        <v>1180</v>
      </c>
      <c r="B208" s="141" t="s">
        <v>132</v>
      </c>
      <c r="C208" s="141" t="s">
        <v>727</v>
      </c>
      <c r="D208" s="141" t="s">
        <v>231</v>
      </c>
      <c r="E208" s="141" t="s">
        <v>233</v>
      </c>
      <c r="F208" s="141" t="s">
        <v>70</v>
      </c>
      <c r="G208" s="141" t="s">
        <v>1181</v>
      </c>
      <c r="H208" s="141" t="s">
        <v>110</v>
      </c>
      <c r="I208" s="172"/>
      <c r="J208" s="146"/>
      <c r="K208" s="146"/>
      <c r="L208" s="444"/>
      <c r="M208" s="444"/>
    </row>
    <row r="209" spans="1:13" ht="48" customHeight="1">
      <c r="A209" s="275" t="s">
        <v>1206</v>
      </c>
      <c r="B209" s="141" t="s">
        <v>132</v>
      </c>
      <c r="C209" s="141" t="s">
        <v>727</v>
      </c>
      <c r="D209" s="141" t="s">
        <v>231</v>
      </c>
      <c r="E209" s="141" t="s">
        <v>233</v>
      </c>
      <c r="F209" s="141" t="s">
        <v>70</v>
      </c>
      <c r="G209" s="141" t="s">
        <v>1191</v>
      </c>
      <c r="H209" s="141" t="s">
        <v>110</v>
      </c>
      <c r="I209" s="172">
        <v>1400</v>
      </c>
      <c r="J209" s="250"/>
      <c r="K209" s="250"/>
      <c r="L209" s="430"/>
      <c r="M209" s="430"/>
    </row>
    <row r="210" spans="1:13" ht="94.5">
      <c r="A210" s="275" t="s">
        <v>1207</v>
      </c>
      <c r="B210" s="141" t="s">
        <v>132</v>
      </c>
      <c r="C210" s="141" t="s">
        <v>727</v>
      </c>
      <c r="D210" s="141" t="s">
        <v>231</v>
      </c>
      <c r="E210" s="141" t="s">
        <v>233</v>
      </c>
      <c r="F210" s="141" t="s">
        <v>70</v>
      </c>
      <c r="G210" s="141" t="s">
        <v>1192</v>
      </c>
      <c r="H210" s="141" t="s">
        <v>110</v>
      </c>
      <c r="I210" s="172"/>
      <c r="J210" s="146"/>
      <c r="K210" s="146"/>
      <c r="L210" s="444"/>
      <c r="M210" s="444"/>
    </row>
    <row r="211" spans="1:13" ht="47.25">
      <c r="A211" s="169" t="s">
        <v>1454</v>
      </c>
      <c r="B211" s="261">
        <v>909</v>
      </c>
      <c r="C211" s="262" t="s">
        <v>727</v>
      </c>
      <c r="D211" s="262" t="s">
        <v>231</v>
      </c>
      <c r="E211" s="262" t="s">
        <v>233</v>
      </c>
      <c r="F211" s="262" t="s">
        <v>70</v>
      </c>
      <c r="G211" s="262" t="s">
        <v>1338</v>
      </c>
      <c r="H211" s="262" t="s">
        <v>110</v>
      </c>
      <c r="I211" s="269" t="e">
        <f>I7+#REF!+I117+I130+I188+I201</f>
        <v>#REF!</v>
      </c>
      <c r="J211" s="265">
        <v>138200</v>
      </c>
      <c r="K211" s="265">
        <v>138200</v>
      </c>
      <c r="L211" s="448">
        <v>138200</v>
      </c>
      <c r="M211" s="448">
        <v>138200</v>
      </c>
    </row>
    <row r="212" spans="1:13" ht="63">
      <c r="A212" s="275" t="s">
        <v>1208</v>
      </c>
      <c r="B212" s="141" t="s">
        <v>132</v>
      </c>
      <c r="C212" s="141" t="s">
        <v>727</v>
      </c>
      <c r="D212" s="141" t="s">
        <v>231</v>
      </c>
      <c r="E212" s="141" t="s">
        <v>233</v>
      </c>
      <c r="F212" s="141" t="s">
        <v>70</v>
      </c>
      <c r="G212" s="141" t="s">
        <v>1193</v>
      </c>
      <c r="H212" s="141" t="s">
        <v>110</v>
      </c>
      <c r="I212" s="269">
        <f>I213</f>
        <v>0</v>
      </c>
      <c r="J212" s="146"/>
      <c r="K212" s="146"/>
      <c r="L212" s="444"/>
      <c r="M212" s="444"/>
    </row>
    <row r="213" spans="1:14" ht="20.25" customHeight="1">
      <c r="A213" s="258" t="s">
        <v>140</v>
      </c>
      <c r="B213" s="24" t="s">
        <v>132</v>
      </c>
      <c r="C213" s="24" t="s">
        <v>141</v>
      </c>
      <c r="D213" s="24"/>
      <c r="E213" s="24"/>
      <c r="F213" s="24"/>
      <c r="G213" s="24"/>
      <c r="H213" s="24"/>
      <c r="I213" s="87"/>
      <c r="J213" s="165">
        <f>SUM(J214:J218)</f>
        <v>573700</v>
      </c>
      <c r="K213" s="165">
        <f>SUM(K214:K218)</f>
        <v>573700</v>
      </c>
      <c r="L213" s="424">
        <f>SUM(L214:L218)</f>
        <v>527500</v>
      </c>
      <c r="M213" s="424">
        <f>SUM(M214:M218)</f>
        <v>527500</v>
      </c>
      <c r="N213" s="132"/>
    </row>
    <row r="214" spans="1:14" ht="64.5" customHeight="1">
      <c r="A214" s="237" t="s">
        <v>609</v>
      </c>
      <c r="B214" s="477">
        <v>909</v>
      </c>
      <c r="C214" s="478" t="s">
        <v>141</v>
      </c>
      <c r="D214" s="478">
        <v>11</v>
      </c>
      <c r="E214" s="478" t="s">
        <v>69</v>
      </c>
      <c r="F214" s="478" t="s">
        <v>70</v>
      </c>
      <c r="G214" s="478" t="s">
        <v>748</v>
      </c>
      <c r="H214" s="478" t="s">
        <v>165</v>
      </c>
      <c r="I214" s="172"/>
      <c r="J214" s="265">
        <v>65500</v>
      </c>
      <c r="K214" s="265">
        <v>65500</v>
      </c>
      <c r="L214" s="448">
        <v>65500</v>
      </c>
      <c r="M214" s="448">
        <v>65500</v>
      </c>
      <c r="N214" s="132"/>
    </row>
    <row r="215" spans="1:13" ht="78.75">
      <c r="A215" s="237" t="s">
        <v>1018</v>
      </c>
      <c r="B215" s="477">
        <v>909</v>
      </c>
      <c r="C215" s="478" t="s">
        <v>141</v>
      </c>
      <c r="D215" s="478">
        <v>11</v>
      </c>
      <c r="E215" s="478" t="s">
        <v>69</v>
      </c>
      <c r="F215" s="478" t="s">
        <v>70</v>
      </c>
      <c r="G215" s="478" t="s">
        <v>748</v>
      </c>
      <c r="H215" s="478" t="s">
        <v>110</v>
      </c>
      <c r="I215" s="284"/>
      <c r="J215" s="291"/>
      <c r="K215" s="291"/>
      <c r="L215" s="457"/>
      <c r="M215" s="457"/>
    </row>
    <row r="216" spans="1:13" ht="78.75">
      <c r="A216" s="237" t="s">
        <v>772</v>
      </c>
      <c r="B216" s="477">
        <v>909</v>
      </c>
      <c r="C216" s="478" t="s">
        <v>141</v>
      </c>
      <c r="D216" s="478">
        <v>11</v>
      </c>
      <c r="E216" s="478" t="s">
        <v>69</v>
      </c>
      <c r="F216" s="478" t="s">
        <v>70</v>
      </c>
      <c r="G216" s="478" t="s">
        <v>748</v>
      </c>
      <c r="H216" s="478" t="s">
        <v>165</v>
      </c>
      <c r="I216" s="284"/>
      <c r="J216" s="143">
        <v>28875</v>
      </c>
      <c r="K216" s="143">
        <v>28875</v>
      </c>
      <c r="L216" s="426">
        <v>23100</v>
      </c>
      <c r="M216" s="426">
        <v>23100</v>
      </c>
    </row>
    <row r="217" spans="1:13" ht="78.75">
      <c r="A217" s="237" t="s">
        <v>773</v>
      </c>
      <c r="B217" s="477">
        <v>909</v>
      </c>
      <c r="C217" s="478" t="s">
        <v>141</v>
      </c>
      <c r="D217" s="478">
        <v>11</v>
      </c>
      <c r="E217" s="478" t="s">
        <v>69</v>
      </c>
      <c r="F217" s="478" t="s">
        <v>70</v>
      </c>
      <c r="G217" s="478" t="s">
        <v>748</v>
      </c>
      <c r="H217" s="478" t="s">
        <v>110</v>
      </c>
      <c r="I217" s="284"/>
      <c r="J217" s="143">
        <v>428505</v>
      </c>
      <c r="K217" s="143">
        <v>428505</v>
      </c>
      <c r="L217" s="426">
        <v>392700</v>
      </c>
      <c r="M217" s="426">
        <v>392700</v>
      </c>
    </row>
    <row r="218" spans="1:13" ht="94.5">
      <c r="A218" s="235" t="s">
        <v>699</v>
      </c>
      <c r="B218" s="141" t="s">
        <v>132</v>
      </c>
      <c r="C218" s="141" t="s">
        <v>141</v>
      </c>
      <c r="D218" s="141">
        <v>11</v>
      </c>
      <c r="E218" s="141" t="s">
        <v>69</v>
      </c>
      <c r="F218" s="141" t="s">
        <v>70</v>
      </c>
      <c r="G218" s="141" t="s">
        <v>541</v>
      </c>
      <c r="H218" s="141" t="s">
        <v>110</v>
      </c>
      <c r="I218" s="284"/>
      <c r="J218" s="250">
        <v>50820</v>
      </c>
      <c r="K218" s="250">
        <v>50820</v>
      </c>
      <c r="L218" s="430">
        <v>46200</v>
      </c>
      <c r="M218" s="430">
        <v>46200</v>
      </c>
    </row>
    <row r="219" spans="1:13" ht="15.75">
      <c r="A219" s="249" t="s">
        <v>240</v>
      </c>
      <c r="B219" s="24" t="s">
        <v>132</v>
      </c>
      <c r="C219" s="24" t="s">
        <v>241</v>
      </c>
      <c r="D219" s="24"/>
      <c r="E219" s="24"/>
      <c r="F219" s="24"/>
      <c r="G219" s="24"/>
      <c r="H219" s="24"/>
      <c r="I219" s="283"/>
      <c r="J219" s="25">
        <f>SUM(J220:J225)</f>
        <v>5216079.460000001</v>
      </c>
      <c r="K219" s="25">
        <f>SUM(K220:K225)</f>
        <v>5202896.260000001</v>
      </c>
      <c r="L219" s="441">
        <f>SUM(L220:L225)</f>
        <v>5215396.260000001</v>
      </c>
      <c r="M219" s="441">
        <f>SUM(M220:M225)</f>
        <v>5202896.260000001</v>
      </c>
    </row>
    <row r="220" spans="1:13" ht="94.5" customHeight="1">
      <c r="A220" s="235" t="s">
        <v>548</v>
      </c>
      <c r="B220" s="141" t="s">
        <v>132</v>
      </c>
      <c r="C220" s="141" t="s">
        <v>241</v>
      </c>
      <c r="D220" s="141" t="s">
        <v>120</v>
      </c>
      <c r="E220" s="141" t="s">
        <v>60</v>
      </c>
      <c r="F220" s="141" t="s">
        <v>120</v>
      </c>
      <c r="G220" s="141" t="s">
        <v>543</v>
      </c>
      <c r="H220" s="141" t="s">
        <v>164</v>
      </c>
      <c r="I220" s="284"/>
      <c r="J220" s="250">
        <v>4278731.61</v>
      </c>
      <c r="K220" s="250">
        <v>4278731.61</v>
      </c>
      <c r="L220" s="430">
        <v>4278731.61</v>
      </c>
      <c r="M220" s="430">
        <v>4278731.61</v>
      </c>
    </row>
    <row r="221" spans="1:13" ht="63">
      <c r="A221" s="235" t="s">
        <v>594</v>
      </c>
      <c r="B221" s="141" t="s">
        <v>132</v>
      </c>
      <c r="C221" s="141" t="s">
        <v>241</v>
      </c>
      <c r="D221" s="141" t="s">
        <v>120</v>
      </c>
      <c r="E221" s="141" t="s">
        <v>60</v>
      </c>
      <c r="F221" s="141" t="s">
        <v>120</v>
      </c>
      <c r="G221" s="141" t="s">
        <v>543</v>
      </c>
      <c r="H221" s="141" t="s">
        <v>165</v>
      </c>
      <c r="I221" s="284"/>
      <c r="J221" s="143">
        <v>784950.65</v>
      </c>
      <c r="K221" s="143">
        <f>784950.65-12500</f>
        <v>772450.65</v>
      </c>
      <c r="L221" s="426">
        <v>784950.65</v>
      </c>
      <c r="M221" s="426">
        <f>784950.65-12500</f>
        <v>772450.65</v>
      </c>
    </row>
    <row r="222" spans="1:13" ht="47.25">
      <c r="A222" s="235" t="s">
        <v>542</v>
      </c>
      <c r="B222" s="141" t="s">
        <v>132</v>
      </c>
      <c r="C222" s="141" t="s">
        <v>241</v>
      </c>
      <c r="D222" s="141" t="s">
        <v>120</v>
      </c>
      <c r="E222" s="141" t="s">
        <v>60</v>
      </c>
      <c r="F222" s="141" t="s">
        <v>120</v>
      </c>
      <c r="G222" s="141" t="s">
        <v>543</v>
      </c>
      <c r="H222" s="141" t="s">
        <v>166</v>
      </c>
      <c r="I222" s="284"/>
      <c r="J222" s="143"/>
      <c r="K222" s="143"/>
      <c r="L222" s="426"/>
      <c r="M222" s="426"/>
    </row>
    <row r="223" spans="1:13" ht="67.5" customHeight="1">
      <c r="A223" s="235" t="s">
        <v>1496</v>
      </c>
      <c r="B223" s="22" t="s">
        <v>132</v>
      </c>
      <c r="C223" s="22" t="s">
        <v>241</v>
      </c>
      <c r="D223" s="22" t="s">
        <v>231</v>
      </c>
      <c r="E223" s="22" t="s">
        <v>60</v>
      </c>
      <c r="F223" s="22" t="s">
        <v>70</v>
      </c>
      <c r="G223" s="141" t="s">
        <v>1495</v>
      </c>
      <c r="H223" s="22" t="s">
        <v>165</v>
      </c>
      <c r="I223" s="284"/>
      <c r="J223" s="143">
        <v>455.46</v>
      </c>
      <c r="K223" s="143">
        <v>0</v>
      </c>
      <c r="L223" s="426"/>
      <c r="M223" s="426"/>
    </row>
    <row r="224" spans="1:13" ht="82.5" customHeight="1">
      <c r="A224" s="235" t="s">
        <v>1499</v>
      </c>
      <c r="B224" s="22" t="s">
        <v>132</v>
      </c>
      <c r="C224" s="22" t="s">
        <v>241</v>
      </c>
      <c r="D224" s="22" t="s">
        <v>231</v>
      </c>
      <c r="E224" s="22" t="s">
        <v>60</v>
      </c>
      <c r="F224" s="22" t="s">
        <v>70</v>
      </c>
      <c r="G224" s="141" t="s">
        <v>1494</v>
      </c>
      <c r="H224" s="22" t="s">
        <v>110</v>
      </c>
      <c r="I224" s="284"/>
      <c r="J224" s="143">
        <v>227.74</v>
      </c>
      <c r="K224" s="143">
        <v>0</v>
      </c>
      <c r="L224" s="426"/>
      <c r="M224" s="426"/>
    </row>
    <row r="225" spans="1:13" ht="78.75">
      <c r="A225" s="71" t="s">
        <v>1005</v>
      </c>
      <c r="B225" s="141" t="s">
        <v>132</v>
      </c>
      <c r="C225" s="141" t="s">
        <v>241</v>
      </c>
      <c r="D225" s="141" t="s">
        <v>231</v>
      </c>
      <c r="E225" s="141" t="s">
        <v>60</v>
      </c>
      <c r="F225" s="141" t="s">
        <v>120</v>
      </c>
      <c r="G225" s="141" t="s">
        <v>1017</v>
      </c>
      <c r="H225" s="141" t="s">
        <v>110</v>
      </c>
      <c r="I225" s="284"/>
      <c r="J225" s="143">
        <v>151714</v>
      </c>
      <c r="K225" s="143">
        <v>151714</v>
      </c>
      <c r="L225" s="426">
        <v>151714</v>
      </c>
      <c r="M225" s="426">
        <v>151714</v>
      </c>
    </row>
    <row r="226" spans="1:13" ht="15.75">
      <c r="A226" s="259" t="s">
        <v>255</v>
      </c>
      <c r="B226" s="24" t="s">
        <v>132</v>
      </c>
      <c r="C226" s="24" t="s">
        <v>256</v>
      </c>
      <c r="D226" s="24"/>
      <c r="E226" s="24"/>
      <c r="F226" s="24"/>
      <c r="G226" s="24"/>
      <c r="H226" s="24"/>
      <c r="I226" s="283"/>
      <c r="J226" s="25">
        <f>J227+J230</f>
        <v>2252512.8</v>
      </c>
      <c r="K226" s="25">
        <f>K227+K230</f>
        <v>2265012.8</v>
      </c>
      <c r="L226" s="441">
        <f>L227+L230</f>
        <v>2252512.8</v>
      </c>
      <c r="M226" s="441">
        <f>M227+M230</f>
        <v>2265012.8</v>
      </c>
    </row>
    <row r="227" spans="1:13" ht="15.75">
      <c r="A227" s="249" t="s">
        <v>203</v>
      </c>
      <c r="B227" s="24" t="s">
        <v>132</v>
      </c>
      <c r="C227" s="24" t="s">
        <v>204</v>
      </c>
      <c r="D227" s="24"/>
      <c r="E227" s="24"/>
      <c r="F227" s="24"/>
      <c r="G227" s="24"/>
      <c r="H227" s="24"/>
      <c r="I227" s="283"/>
      <c r="J227" s="25">
        <f>J228+J229</f>
        <v>1217512.8</v>
      </c>
      <c r="K227" s="25">
        <f>K228+K229</f>
        <v>1217512.8</v>
      </c>
      <c r="L227" s="441">
        <f>L228+L229</f>
        <v>1217512.8</v>
      </c>
      <c r="M227" s="441">
        <f>M228+M229</f>
        <v>1217512.8</v>
      </c>
    </row>
    <row r="228" spans="1:13" ht="110.25">
      <c r="A228" s="235" t="s">
        <v>546</v>
      </c>
      <c r="B228" s="141" t="s">
        <v>132</v>
      </c>
      <c r="C228" s="141" t="s">
        <v>204</v>
      </c>
      <c r="D228" s="141" t="s">
        <v>231</v>
      </c>
      <c r="E228" s="141" t="s">
        <v>69</v>
      </c>
      <c r="F228" s="141" t="s">
        <v>70</v>
      </c>
      <c r="G228" s="141" t="s">
        <v>545</v>
      </c>
      <c r="H228" s="141" t="s">
        <v>111</v>
      </c>
      <c r="I228" s="284"/>
      <c r="J228" s="250">
        <v>1130892.7</v>
      </c>
      <c r="K228" s="250">
        <v>1130892.7</v>
      </c>
      <c r="L228" s="430">
        <v>1130892.7</v>
      </c>
      <c r="M228" s="430">
        <v>1130892.7</v>
      </c>
    </row>
    <row r="229" spans="1:13" ht="110.25">
      <c r="A229" s="235" t="s">
        <v>546</v>
      </c>
      <c r="B229" s="141" t="s">
        <v>132</v>
      </c>
      <c r="C229" s="141" t="s">
        <v>204</v>
      </c>
      <c r="D229" s="141" t="s">
        <v>231</v>
      </c>
      <c r="E229" s="141" t="s">
        <v>60</v>
      </c>
      <c r="F229" s="141" t="s">
        <v>70</v>
      </c>
      <c r="G229" s="141" t="s">
        <v>545</v>
      </c>
      <c r="H229" s="141" t="s">
        <v>111</v>
      </c>
      <c r="I229" s="284"/>
      <c r="J229" s="143">
        <v>86620.1</v>
      </c>
      <c r="K229" s="143">
        <v>86620.1</v>
      </c>
      <c r="L229" s="426">
        <v>86620.1</v>
      </c>
      <c r="M229" s="426">
        <v>86620.1</v>
      </c>
    </row>
    <row r="230" spans="1:13" ht="15.75">
      <c r="A230" s="249" t="s">
        <v>330</v>
      </c>
      <c r="B230" s="24" t="s">
        <v>132</v>
      </c>
      <c r="C230" s="24" t="s">
        <v>329</v>
      </c>
      <c r="D230" s="24"/>
      <c r="E230" s="24"/>
      <c r="F230" s="24"/>
      <c r="G230" s="24"/>
      <c r="H230" s="24"/>
      <c r="I230" s="283"/>
      <c r="J230" s="25">
        <f>J231+J232+J234</f>
        <v>1035000</v>
      </c>
      <c r="K230" s="25">
        <f>K231+K232+K234+K233</f>
        <v>1047500</v>
      </c>
      <c r="L230" s="441">
        <f>L231+L232+L234</f>
        <v>1035000</v>
      </c>
      <c r="M230" s="441">
        <f>M231+M232+M234+M233</f>
        <v>1047500</v>
      </c>
    </row>
    <row r="231" spans="1:13" ht="110.25">
      <c r="A231" s="235" t="s">
        <v>544</v>
      </c>
      <c r="B231" s="141" t="s">
        <v>132</v>
      </c>
      <c r="C231" s="141" t="s">
        <v>329</v>
      </c>
      <c r="D231" s="141" t="s">
        <v>163</v>
      </c>
      <c r="E231" s="141" t="s">
        <v>119</v>
      </c>
      <c r="F231" s="141" t="s">
        <v>500</v>
      </c>
      <c r="G231" s="141" t="s">
        <v>547</v>
      </c>
      <c r="H231" s="141" t="s">
        <v>111</v>
      </c>
      <c r="I231" s="284"/>
      <c r="J231" s="250">
        <v>1035000</v>
      </c>
      <c r="K231" s="250">
        <v>1035000</v>
      </c>
      <c r="L231" s="430">
        <v>1035000</v>
      </c>
      <c r="M231" s="430">
        <v>1035000</v>
      </c>
    </row>
    <row r="232" spans="1:13" ht="60.75" customHeight="1">
      <c r="A232" s="237" t="s">
        <v>946</v>
      </c>
      <c r="B232" s="141" t="s">
        <v>132</v>
      </c>
      <c r="C232" s="141" t="s">
        <v>329</v>
      </c>
      <c r="D232" s="141" t="s">
        <v>1381</v>
      </c>
      <c r="E232" s="141" t="s">
        <v>69</v>
      </c>
      <c r="F232" s="141" t="s">
        <v>120</v>
      </c>
      <c r="G232" s="141" t="s">
        <v>968</v>
      </c>
      <c r="H232" s="141" t="s">
        <v>165</v>
      </c>
      <c r="I232" s="284"/>
      <c r="J232" s="146">
        <v>0</v>
      </c>
      <c r="K232" s="146">
        <v>8500</v>
      </c>
      <c r="L232" s="444">
        <v>0</v>
      </c>
      <c r="M232" s="444">
        <v>8500</v>
      </c>
    </row>
    <row r="233" spans="1:13" ht="60.75" customHeight="1">
      <c r="A233" s="237" t="s">
        <v>1386</v>
      </c>
      <c r="B233" s="141" t="s">
        <v>132</v>
      </c>
      <c r="C233" s="141" t="s">
        <v>329</v>
      </c>
      <c r="D233" s="141" t="s">
        <v>1381</v>
      </c>
      <c r="E233" s="141" t="s">
        <v>69</v>
      </c>
      <c r="F233" s="141" t="s">
        <v>70</v>
      </c>
      <c r="G233" s="141" t="s">
        <v>1388</v>
      </c>
      <c r="H233" s="141" t="s">
        <v>165</v>
      </c>
      <c r="I233" s="284"/>
      <c r="J233" s="146">
        <v>0</v>
      </c>
      <c r="K233" s="146">
        <v>4000</v>
      </c>
      <c r="L233" s="444">
        <v>0</v>
      </c>
      <c r="M233" s="444">
        <v>4000</v>
      </c>
    </row>
    <row r="234" spans="1:13" ht="81.75" customHeight="1">
      <c r="A234" s="162" t="s">
        <v>902</v>
      </c>
      <c r="B234" s="23" t="s">
        <v>132</v>
      </c>
      <c r="C234" s="23" t="s">
        <v>329</v>
      </c>
      <c r="D234" s="23" t="s">
        <v>1381</v>
      </c>
      <c r="E234" s="23" t="s">
        <v>69</v>
      </c>
      <c r="F234" s="23" t="s">
        <v>242</v>
      </c>
      <c r="G234" s="23" t="s">
        <v>969</v>
      </c>
      <c r="H234" s="23" t="s">
        <v>165</v>
      </c>
      <c r="I234" s="283"/>
      <c r="J234" s="99"/>
      <c r="K234" s="99"/>
      <c r="L234" s="455"/>
      <c r="M234" s="455"/>
    </row>
    <row r="235" spans="1:13" ht="31.5">
      <c r="A235" s="247" t="s">
        <v>115</v>
      </c>
      <c r="B235" s="248" t="s">
        <v>114</v>
      </c>
      <c r="C235" s="248"/>
      <c r="D235" s="248"/>
      <c r="E235" s="248"/>
      <c r="F235" s="248"/>
      <c r="G235" s="248"/>
      <c r="H235" s="248"/>
      <c r="I235" s="283"/>
      <c r="J235" s="218">
        <f>J236+J247</f>
        <v>4546739</v>
      </c>
      <c r="K235" s="218">
        <f>K236+K247</f>
        <v>4338414</v>
      </c>
      <c r="L235" s="440">
        <f>L236+L247</f>
        <v>4542490</v>
      </c>
      <c r="M235" s="440">
        <f>M236+M247</f>
        <v>4296000</v>
      </c>
    </row>
    <row r="236" spans="1:13" ht="15.75">
      <c r="A236" s="249" t="s">
        <v>285</v>
      </c>
      <c r="B236" s="24" t="s">
        <v>114</v>
      </c>
      <c r="C236" s="24" t="s">
        <v>286</v>
      </c>
      <c r="D236" s="24"/>
      <c r="E236" s="24"/>
      <c r="F236" s="24"/>
      <c r="G236" s="24"/>
      <c r="H236" s="24"/>
      <c r="I236" s="283"/>
      <c r="J236" s="25">
        <f>J237+J241+J243+J245</f>
        <v>4546739</v>
      </c>
      <c r="K236" s="25">
        <f>K237+K241+K243+K245</f>
        <v>4329414</v>
      </c>
      <c r="L236" s="441">
        <f>L237+L241+L243+L245</f>
        <v>4542490</v>
      </c>
      <c r="M236" s="441">
        <f>M237+M241+M243+M245</f>
        <v>4287000</v>
      </c>
    </row>
    <row r="237" spans="1:13" ht="47.25">
      <c r="A237" s="249" t="s">
        <v>616</v>
      </c>
      <c r="B237" s="24" t="s">
        <v>114</v>
      </c>
      <c r="C237" s="24" t="s">
        <v>131</v>
      </c>
      <c r="D237" s="24"/>
      <c r="E237" s="24"/>
      <c r="F237" s="24"/>
      <c r="G237" s="24"/>
      <c r="H237" s="24"/>
      <c r="I237" s="283"/>
      <c r="J237" s="25">
        <f>SUM(J238:J240)</f>
        <v>4237000</v>
      </c>
      <c r="K237" s="25">
        <f>SUM(K238:K240)</f>
        <v>4237000</v>
      </c>
      <c r="L237" s="441">
        <f>SUM(L238:L240)</f>
        <v>4237000</v>
      </c>
      <c r="M237" s="441">
        <f>SUM(M238:M240)</f>
        <v>4237000</v>
      </c>
    </row>
    <row r="238" spans="1:13" ht="98.25" customHeight="1">
      <c r="A238" s="162" t="s">
        <v>549</v>
      </c>
      <c r="B238" s="23" t="s">
        <v>114</v>
      </c>
      <c r="C238" s="23" t="s">
        <v>131</v>
      </c>
      <c r="D238" s="23" t="s">
        <v>297</v>
      </c>
      <c r="E238" s="23" t="s">
        <v>69</v>
      </c>
      <c r="F238" s="23" t="s">
        <v>70</v>
      </c>
      <c r="G238" s="23" t="s">
        <v>550</v>
      </c>
      <c r="H238" s="23" t="s">
        <v>164</v>
      </c>
      <c r="I238" s="283"/>
      <c r="J238" s="225">
        <v>3850265.8</v>
      </c>
      <c r="K238" s="225">
        <v>3850265.8</v>
      </c>
      <c r="L238" s="445">
        <v>3850265.8</v>
      </c>
      <c r="M238" s="445">
        <v>3850265.8</v>
      </c>
    </row>
    <row r="239" spans="1:13" ht="63">
      <c r="A239" s="162" t="s">
        <v>608</v>
      </c>
      <c r="B239" s="23" t="s">
        <v>114</v>
      </c>
      <c r="C239" s="23" t="s">
        <v>131</v>
      </c>
      <c r="D239" s="23" t="s">
        <v>297</v>
      </c>
      <c r="E239" s="23" t="s">
        <v>69</v>
      </c>
      <c r="F239" s="23" t="s">
        <v>70</v>
      </c>
      <c r="G239" s="23" t="s">
        <v>550</v>
      </c>
      <c r="H239" s="23" t="s">
        <v>165</v>
      </c>
      <c r="I239" s="283"/>
      <c r="J239" s="225">
        <v>386734.2</v>
      </c>
      <c r="K239" s="225">
        <v>386734.2</v>
      </c>
      <c r="L239" s="445">
        <v>386734.2</v>
      </c>
      <c r="M239" s="445">
        <v>386734.2</v>
      </c>
    </row>
    <row r="240" spans="1:13" ht="47.25">
      <c r="A240" s="162" t="s">
        <v>463</v>
      </c>
      <c r="B240" s="23" t="s">
        <v>114</v>
      </c>
      <c r="C240" s="23" t="s">
        <v>131</v>
      </c>
      <c r="D240" s="23" t="s">
        <v>297</v>
      </c>
      <c r="E240" s="23" t="s">
        <v>69</v>
      </c>
      <c r="F240" s="23" t="s">
        <v>70</v>
      </c>
      <c r="G240" s="23" t="s">
        <v>550</v>
      </c>
      <c r="H240" s="23" t="s">
        <v>166</v>
      </c>
      <c r="I240" s="283"/>
      <c r="J240" s="34"/>
      <c r="K240" s="34"/>
      <c r="L240" s="453"/>
      <c r="M240" s="453"/>
    </row>
    <row r="241" spans="1:13" ht="15.75">
      <c r="A241" s="241" t="s">
        <v>617</v>
      </c>
      <c r="B241" s="153" t="s">
        <v>114</v>
      </c>
      <c r="C241" s="153" t="s">
        <v>268</v>
      </c>
      <c r="D241" s="153"/>
      <c r="E241" s="153"/>
      <c r="F241" s="153"/>
      <c r="G241" s="153"/>
      <c r="H241" s="153"/>
      <c r="I241" s="283"/>
      <c r="J241" s="165">
        <f>J242</f>
        <v>9739</v>
      </c>
      <c r="K241" s="165">
        <f>K242</f>
        <v>42414</v>
      </c>
      <c r="L241" s="424">
        <f>L242</f>
        <v>5490</v>
      </c>
      <c r="M241" s="424">
        <f>M242</f>
        <v>0</v>
      </c>
    </row>
    <row r="242" spans="1:13" ht="47.25">
      <c r="A242" s="235" t="s">
        <v>895</v>
      </c>
      <c r="B242" s="141" t="s">
        <v>114</v>
      </c>
      <c r="C242" s="141" t="s">
        <v>268</v>
      </c>
      <c r="D242" s="141" t="s">
        <v>551</v>
      </c>
      <c r="E242" s="141" t="s">
        <v>119</v>
      </c>
      <c r="F242" s="141" t="s">
        <v>500</v>
      </c>
      <c r="G242" s="141" t="s">
        <v>552</v>
      </c>
      <c r="H242" s="141" t="s">
        <v>53</v>
      </c>
      <c r="I242" s="284"/>
      <c r="J242" s="143">
        <v>9739</v>
      </c>
      <c r="K242" s="143">
        <v>42414</v>
      </c>
      <c r="L242" s="426">
        <v>5490</v>
      </c>
      <c r="M242" s="426">
        <v>0</v>
      </c>
    </row>
    <row r="243" spans="1:13" ht="15.75">
      <c r="A243" s="241" t="s">
        <v>1349</v>
      </c>
      <c r="B243" s="153" t="s">
        <v>114</v>
      </c>
      <c r="C243" s="153" t="s">
        <v>1350</v>
      </c>
      <c r="D243" s="127"/>
      <c r="E243" s="127"/>
      <c r="F243" s="127"/>
      <c r="G243" s="127"/>
      <c r="H243" s="127"/>
      <c r="I243" s="154"/>
      <c r="J243" s="293">
        <f>J244</f>
        <v>300000</v>
      </c>
      <c r="K243" s="165">
        <f>K244</f>
        <v>50000</v>
      </c>
      <c r="L243" s="458">
        <f>L244</f>
        <v>300000</v>
      </c>
      <c r="M243" s="424">
        <f>M244</f>
        <v>50000</v>
      </c>
    </row>
    <row r="244" spans="1:13" ht="36" customHeight="1">
      <c r="A244" s="235" t="s">
        <v>1351</v>
      </c>
      <c r="B244" s="22" t="s">
        <v>114</v>
      </c>
      <c r="C244" s="22" t="s">
        <v>1350</v>
      </c>
      <c r="D244" s="22" t="s">
        <v>163</v>
      </c>
      <c r="E244" s="22" t="s">
        <v>119</v>
      </c>
      <c r="F244" s="22" t="s">
        <v>500</v>
      </c>
      <c r="G244" s="22" t="s">
        <v>1397</v>
      </c>
      <c r="H244" s="22" t="s">
        <v>166</v>
      </c>
      <c r="I244" s="87"/>
      <c r="J244" s="173">
        <v>300000</v>
      </c>
      <c r="K244" s="250">
        <v>50000</v>
      </c>
      <c r="L244" s="459">
        <v>300000</v>
      </c>
      <c r="M244" s="430">
        <v>50000</v>
      </c>
    </row>
    <row r="245" spans="1:13" ht="15.75">
      <c r="A245" s="241" t="s">
        <v>316</v>
      </c>
      <c r="B245" s="153" t="s">
        <v>114</v>
      </c>
      <c r="C245" s="153" t="s">
        <v>317</v>
      </c>
      <c r="D245" s="127"/>
      <c r="E245" s="127"/>
      <c r="F245" s="127"/>
      <c r="G245" s="127"/>
      <c r="H245" s="127"/>
      <c r="I245" s="283"/>
      <c r="J245" s="165">
        <f>J246</f>
        <v>0</v>
      </c>
      <c r="K245" s="165">
        <f>K246</f>
        <v>0</v>
      </c>
      <c r="L245" s="424">
        <f>L246</f>
        <v>0</v>
      </c>
      <c r="M245" s="424">
        <f>M246</f>
        <v>0</v>
      </c>
    </row>
    <row r="246" spans="1:13" ht="157.5" customHeight="1">
      <c r="A246" s="66" t="s">
        <v>1047</v>
      </c>
      <c r="B246" s="23" t="s">
        <v>114</v>
      </c>
      <c r="C246" s="23" t="s">
        <v>317</v>
      </c>
      <c r="D246" s="23" t="s">
        <v>163</v>
      </c>
      <c r="E246" s="23" t="s">
        <v>119</v>
      </c>
      <c r="F246" s="23" t="s">
        <v>500</v>
      </c>
      <c r="G246" s="23" t="s">
        <v>623</v>
      </c>
      <c r="H246" s="23" t="s">
        <v>166</v>
      </c>
      <c r="I246" s="283"/>
      <c r="J246" s="34"/>
      <c r="K246" s="34"/>
      <c r="L246" s="453"/>
      <c r="M246" s="453"/>
    </row>
    <row r="247" spans="1:13" ht="15.75">
      <c r="A247" s="160" t="s">
        <v>255</v>
      </c>
      <c r="B247" s="153" t="s">
        <v>114</v>
      </c>
      <c r="C247" s="153" t="s">
        <v>256</v>
      </c>
      <c r="D247" s="153"/>
      <c r="E247" s="153"/>
      <c r="F247" s="153"/>
      <c r="G247" s="153"/>
      <c r="H247" s="153"/>
      <c r="I247" s="283"/>
      <c r="J247" s="165">
        <f>J248</f>
        <v>0</v>
      </c>
      <c r="K247" s="165">
        <f>K248</f>
        <v>9000</v>
      </c>
      <c r="L247" s="424">
        <f>L248</f>
        <v>0</v>
      </c>
      <c r="M247" s="424">
        <f>M248</f>
        <v>9000</v>
      </c>
    </row>
    <row r="248" spans="1:13" ht="15.75">
      <c r="A248" s="160" t="s">
        <v>316</v>
      </c>
      <c r="B248" s="153" t="s">
        <v>114</v>
      </c>
      <c r="C248" s="153" t="s">
        <v>329</v>
      </c>
      <c r="D248" s="153"/>
      <c r="E248" s="153"/>
      <c r="F248" s="153"/>
      <c r="G248" s="153"/>
      <c r="H248" s="153"/>
      <c r="I248" s="283"/>
      <c r="J248" s="165">
        <f>J249+J250</f>
        <v>0</v>
      </c>
      <c r="K248" s="165">
        <f>K249+K250</f>
        <v>9000</v>
      </c>
      <c r="L248" s="424">
        <f>L249+L250</f>
        <v>0</v>
      </c>
      <c r="M248" s="424">
        <f>M249+M250</f>
        <v>9000</v>
      </c>
    </row>
    <row r="249" spans="1:13" ht="63" customHeight="1">
      <c r="A249" s="162" t="s">
        <v>1072</v>
      </c>
      <c r="B249" s="23" t="s">
        <v>114</v>
      </c>
      <c r="C249" s="23" t="s">
        <v>329</v>
      </c>
      <c r="D249" s="23" t="s">
        <v>1381</v>
      </c>
      <c r="E249" s="23" t="s">
        <v>69</v>
      </c>
      <c r="F249" s="23" t="s">
        <v>120</v>
      </c>
      <c r="G249" s="23" t="s">
        <v>1067</v>
      </c>
      <c r="H249" s="23" t="s">
        <v>165</v>
      </c>
      <c r="I249" s="283"/>
      <c r="J249" s="254"/>
      <c r="K249" s="254">
        <v>9000</v>
      </c>
      <c r="L249" s="460"/>
      <c r="M249" s="460">
        <v>9000</v>
      </c>
    </row>
    <row r="250" spans="1:13" ht="79.5" customHeight="1">
      <c r="A250" s="237" t="s">
        <v>1358</v>
      </c>
      <c r="B250" s="141" t="s">
        <v>114</v>
      </c>
      <c r="C250" s="141" t="s">
        <v>329</v>
      </c>
      <c r="D250" s="141" t="s">
        <v>1381</v>
      </c>
      <c r="E250" s="141" t="s">
        <v>69</v>
      </c>
      <c r="F250" s="141" t="s">
        <v>242</v>
      </c>
      <c r="G250" s="141" t="s">
        <v>1336</v>
      </c>
      <c r="H250" s="141" t="s">
        <v>165</v>
      </c>
      <c r="I250" s="283"/>
      <c r="J250" s="254"/>
      <c r="K250" s="254"/>
      <c r="L250" s="460"/>
      <c r="M250" s="460"/>
    </row>
    <row r="251" spans="1:13" ht="31.5">
      <c r="A251" s="247" t="s">
        <v>250</v>
      </c>
      <c r="B251" s="248" t="s">
        <v>295</v>
      </c>
      <c r="C251" s="248"/>
      <c r="D251" s="248"/>
      <c r="E251" s="248"/>
      <c r="F251" s="248"/>
      <c r="G251" s="248"/>
      <c r="H251" s="248"/>
      <c r="I251" s="283"/>
      <c r="J251" s="218">
        <f>J252+J256</f>
        <v>1377873.6099999999</v>
      </c>
      <c r="K251" s="218">
        <f>K252+K256</f>
        <v>1377873.6099999999</v>
      </c>
      <c r="L251" s="440">
        <f>L252+L256</f>
        <v>1377873.6099999999</v>
      </c>
      <c r="M251" s="440">
        <f>M252+M256</f>
        <v>1377873.6099999999</v>
      </c>
    </row>
    <row r="252" spans="1:13" ht="15.75">
      <c r="A252" s="249" t="s">
        <v>285</v>
      </c>
      <c r="B252" s="153" t="s">
        <v>295</v>
      </c>
      <c r="C252" s="153" t="s">
        <v>286</v>
      </c>
      <c r="D252" s="153"/>
      <c r="E252" s="153"/>
      <c r="F252" s="153"/>
      <c r="G252" s="153"/>
      <c r="H252" s="153"/>
      <c r="I252" s="283"/>
      <c r="J252" s="163">
        <f>J253</f>
        <v>1377873.6099999999</v>
      </c>
      <c r="K252" s="163">
        <f>K253</f>
        <v>1377873.6099999999</v>
      </c>
      <c r="L252" s="454">
        <f>L253</f>
        <v>1377873.6099999999</v>
      </c>
      <c r="M252" s="454">
        <f>M253</f>
        <v>1377873.6099999999</v>
      </c>
    </row>
    <row r="253" spans="1:13" ht="47.25">
      <c r="A253" s="249" t="s">
        <v>616</v>
      </c>
      <c r="B253" s="24" t="s">
        <v>295</v>
      </c>
      <c r="C253" s="24" t="s">
        <v>131</v>
      </c>
      <c r="D253" s="24"/>
      <c r="E253" s="24"/>
      <c r="F253" s="24"/>
      <c r="G253" s="24"/>
      <c r="H253" s="24"/>
      <c r="I253" s="283"/>
      <c r="J253" s="25">
        <f>J254+J255</f>
        <v>1377873.6099999999</v>
      </c>
      <c r="K253" s="25">
        <f>K254+K255</f>
        <v>1377873.6099999999</v>
      </c>
      <c r="L253" s="441">
        <f>L254+L255</f>
        <v>1377873.6099999999</v>
      </c>
      <c r="M253" s="441">
        <f>M254+M255</f>
        <v>1377873.6099999999</v>
      </c>
    </row>
    <row r="254" spans="1:13" ht="94.5">
      <c r="A254" s="66" t="s">
        <v>364</v>
      </c>
      <c r="B254" s="23" t="s">
        <v>295</v>
      </c>
      <c r="C254" s="23" t="s">
        <v>131</v>
      </c>
      <c r="D254" s="23" t="s">
        <v>120</v>
      </c>
      <c r="E254" s="23" t="s">
        <v>60</v>
      </c>
      <c r="F254" s="23" t="s">
        <v>120</v>
      </c>
      <c r="G254" s="23" t="s">
        <v>553</v>
      </c>
      <c r="H254" s="23" t="s">
        <v>164</v>
      </c>
      <c r="I254" s="283"/>
      <c r="J254" s="225">
        <v>1150297.21</v>
      </c>
      <c r="K254" s="225">
        <v>1150297.21</v>
      </c>
      <c r="L254" s="445">
        <v>1150297.21</v>
      </c>
      <c r="M254" s="445">
        <v>1150297.21</v>
      </c>
    </row>
    <row r="255" spans="1:13" ht="50.25" customHeight="1">
      <c r="A255" s="66" t="s">
        <v>595</v>
      </c>
      <c r="B255" s="23" t="s">
        <v>295</v>
      </c>
      <c r="C255" s="23" t="s">
        <v>131</v>
      </c>
      <c r="D255" s="23" t="s">
        <v>120</v>
      </c>
      <c r="E255" s="23" t="s">
        <v>60</v>
      </c>
      <c r="F255" s="23" t="s">
        <v>120</v>
      </c>
      <c r="G255" s="23" t="s">
        <v>553</v>
      </c>
      <c r="H255" s="23" t="s">
        <v>165</v>
      </c>
      <c r="I255" s="283"/>
      <c r="J255" s="279">
        <v>227576.4</v>
      </c>
      <c r="K255" s="279">
        <v>227576.4</v>
      </c>
      <c r="L255" s="461">
        <v>227576.4</v>
      </c>
      <c r="M255" s="461">
        <v>227576.4</v>
      </c>
    </row>
    <row r="256" spans="1:13" ht="15.75">
      <c r="A256" s="249" t="s">
        <v>255</v>
      </c>
      <c r="B256" s="24" t="s">
        <v>295</v>
      </c>
      <c r="C256" s="24" t="s">
        <v>256</v>
      </c>
      <c r="D256" s="127"/>
      <c r="E256" s="127"/>
      <c r="F256" s="127"/>
      <c r="G256" s="127"/>
      <c r="H256" s="127"/>
      <c r="I256" s="283"/>
      <c r="J256" s="129">
        <f>J257</f>
        <v>0</v>
      </c>
      <c r="K256" s="129">
        <f>K257</f>
        <v>0</v>
      </c>
      <c r="L256" s="427">
        <f>L257</f>
        <v>0</v>
      </c>
      <c r="M256" s="427">
        <f>M257</f>
        <v>0</v>
      </c>
    </row>
    <row r="257" spans="1:13" ht="15.75">
      <c r="A257" s="249" t="s">
        <v>316</v>
      </c>
      <c r="B257" s="24" t="s">
        <v>295</v>
      </c>
      <c r="C257" s="24" t="s">
        <v>329</v>
      </c>
      <c r="D257" s="24"/>
      <c r="E257" s="24"/>
      <c r="F257" s="24"/>
      <c r="G257" s="24"/>
      <c r="H257" s="24"/>
      <c r="I257" s="283"/>
      <c r="J257" s="165">
        <f>J258+J259</f>
        <v>0</v>
      </c>
      <c r="K257" s="165">
        <f>K258+K259</f>
        <v>0</v>
      </c>
      <c r="L257" s="424">
        <f>L258+L259</f>
        <v>0</v>
      </c>
      <c r="M257" s="424">
        <f>M258+M259</f>
        <v>0</v>
      </c>
    </row>
    <row r="258" spans="1:13" ht="66.75" customHeight="1">
      <c r="A258" s="162" t="s">
        <v>898</v>
      </c>
      <c r="B258" s="23" t="s">
        <v>295</v>
      </c>
      <c r="C258" s="23" t="s">
        <v>329</v>
      </c>
      <c r="D258" s="23" t="s">
        <v>1381</v>
      </c>
      <c r="E258" s="23" t="s">
        <v>69</v>
      </c>
      <c r="F258" s="23" t="s">
        <v>70</v>
      </c>
      <c r="G258" s="23" t="s">
        <v>870</v>
      </c>
      <c r="H258" s="23" t="s">
        <v>165</v>
      </c>
      <c r="I258" s="283"/>
      <c r="J258" s="254">
        <v>0</v>
      </c>
      <c r="K258" s="254">
        <v>0</v>
      </c>
      <c r="L258" s="460">
        <v>0</v>
      </c>
      <c r="M258" s="460">
        <v>0</v>
      </c>
    </row>
    <row r="259" spans="1:13" ht="63">
      <c r="A259" s="162" t="s">
        <v>944</v>
      </c>
      <c r="B259" s="23" t="s">
        <v>295</v>
      </c>
      <c r="C259" s="23" t="s">
        <v>329</v>
      </c>
      <c r="D259" s="23" t="s">
        <v>1381</v>
      </c>
      <c r="E259" s="23" t="s">
        <v>69</v>
      </c>
      <c r="F259" s="23" t="s">
        <v>120</v>
      </c>
      <c r="G259" s="23" t="s">
        <v>970</v>
      </c>
      <c r="H259" s="23" t="s">
        <v>165</v>
      </c>
      <c r="I259" s="283"/>
      <c r="J259" s="254">
        <v>0</v>
      </c>
      <c r="K259" s="254">
        <v>0</v>
      </c>
      <c r="L259" s="460">
        <v>0</v>
      </c>
      <c r="M259" s="460">
        <v>0</v>
      </c>
    </row>
    <row r="260" spans="1:13" ht="15.75">
      <c r="A260" s="247" t="s">
        <v>1359</v>
      </c>
      <c r="B260" s="248"/>
      <c r="C260" s="248"/>
      <c r="D260" s="248"/>
      <c r="E260" s="248"/>
      <c r="F260" s="248"/>
      <c r="G260" s="248"/>
      <c r="H260" s="248"/>
      <c r="I260" s="283"/>
      <c r="J260" s="218">
        <f>J11+J147+J158+J235+J251</f>
        <v>300349844.33000004</v>
      </c>
      <c r="K260" s="218">
        <f>K11+K147+K158+K235+K251</f>
        <v>295178531.6</v>
      </c>
      <c r="L260" s="440">
        <f>L11+L147+L158+L235+L251</f>
        <v>302446309.33000004</v>
      </c>
      <c r="M260" s="440">
        <f>M11+M147+M158+M235+M251</f>
        <v>293724243.6</v>
      </c>
    </row>
    <row r="263" spans="10:11" ht="15">
      <c r="J263" s="193">
        <f>L260-J260</f>
        <v>2096465</v>
      </c>
      <c r="K263" s="466">
        <f>M260-K260</f>
        <v>-1454288</v>
      </c>
    </row>
  </sheetData>
  <sheetProtection/>
  <mergeCells count="11">
    <mergeCell ref="I8:K8"/>
    <mergeCell ref="L8:M8"/>
    <mergeCell ref="B1:K1"/>
    <mergeCell ref="B2:K2"/>
    <mergeCell ref="B3:K3"/>
    <mergeCell ref="A5:K6"/>
    <mergeCell ref="A8:A9"/>
    <mergeCell ref="B8:B9"/>
    <mergeCell ref="C8:C9"/>
    <mergeCell ref="D8:G8"/>
    <mergeCell ref="H8:H9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2020-01-22T13:23:32Z</cp:lastPrinted>
  <dcterms:created xsi:type="dcterms:W3CDTF">2012-10-04T08:08:03Z</dcterms:created>
  <dcterms:modified xsi:type="dcterms:W3CDTF">2020-01-24T06:56:15Z</dcterms:modified>
  <cp:category/>
  <cp:version/>
  <cp:contentType/>
  <cp:contentStatus/>
</cp:coreProperties>
</file>