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№2'!$A$1:$L$215</definedName>
    <definedName name="_xlnm.Print_Area" localSheetId="2">'Приложение №3'!$A$1:$C$103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5">'Приложение №6'!$A$1:$I$323</definedName>
    <definedName name="_xlnm.Print_Area" localSheetId="6">'Приложение №7'!$A$1:$F$288</definedName>
    <definedName name="_xlnm.Print_Area" localSheetId="7">'Приложение №8'!$A$1:$K$277</definedName>
    <definedName name="_xlnm.Print_Area" localSheetId="8">'Приложение №9'!$A$1:$K$267</definedName>
  </definedNames>
  <calcPr fullCalcOnLoad="1"/>
</workbook>
</file>

<file path=xl/sharedStrings.xml><?xml version="1.0" encoding="utf-8"?>
<sst xmlns="http://schemas.openxmlformats.org/spreadsheetml/2006/main" count="5928" uniqueCount="1619">
  <si>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</si>
  <si>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</si>
  <si>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</si>
  <si>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</si>
  <si>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</si>
  <si>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</si>
  <si>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</si>
  <si>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</si>
  <si>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</si>
  <si>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</si>
  <si>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</si>
  <si>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</si>
  <si>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</si>
  <si>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</si>
  <si>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</si>
  <si>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</si>
  <si>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</si>
  <si>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</si>
  <si>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</si>
  <si>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</si>
  <si>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</si>
  <si>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</si>
  <si>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</si>
  <si>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</si>
  <si>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</si>
  <si>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</si>
  <si>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</si>
  <si>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</si>
  <si>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</si>
  <si>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</si>
  <si>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</si>
  <si>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</si>
  <si>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</si>
  <si>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</si>
  <si>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</si>
  <si>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</si>
  <si>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</si>
  <si>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</si>
  <si>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</si>
  <si>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</si>
  <si>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</si>
  <si>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</si>
  <si>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</si>
  <si>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</si>
  <si>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</si>
  <si>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</si>
  <si>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</si>
  <si>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</si>
  <si>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</si>
  <si>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</si>
  <si>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</si>
  <si>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</si>
  <si>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</si>
  <si>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</si>
  <si>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</si>
  <si>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</si>
  <si>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</si>
  <si>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</si>
  <si>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</si>
  <si>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</si>
  <si>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</si>
  <si>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</si>
  <si>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</si>
  <si>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</si>
  <si>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</si>
  <si>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</si>
  <si>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</si>
  <si>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</si>
  <si>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</si>
  <si>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</si>
  <si>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</si>
  <si>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</si>
  <si>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</si>
  <si>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</si>
  <si>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</si>
  <si>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</si>
  <si>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</si>
  <si>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</si>
  <si>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</si>
  <si>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</si>
  <si>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</si>
  <si>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</si>
  <si>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</si>
  <si>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</si>
  <si>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</si>
  <si>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</si>
  <si>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</si>
  <si>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</si>
  <si>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</si>
  <si>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</si>
  <si>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</si>
  <si>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</si>
  <si>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</si>
  <si>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</si>
  <si>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</si>
  <si>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</si>
  <si>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</si>
  <si>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</si>
  <si>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</si>
  <si>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</si>
  <si>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</si>
  <si>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</si>
  <si>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</si>
  <si>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</si>
  <si>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</si>
  <si>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</si>
  <si>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</si>
  <si>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</si>
  <si>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</si>
  <si>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</si>
  <si>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</si>
  <si>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</si>
  <si>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</si>
  <si>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</si>
  <si>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</si>
  <si>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</si>
  <si>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</si>
  <si>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</si>
  <si>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</si>
  <si>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</si>
  <si>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</si>
  <si>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</si>
  <si>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</si>
  <si>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</si>
  <si>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</si>
  <si>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</si>
  <si>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</si>
  <si>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</si>
  <si>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</si>
  <si>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</si>
  <si>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</si>
  <si>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</si>
  <si>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</si>
  <si>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</si>
  <si>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</si>
  <si>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</si>
  <si>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</si>
  <si>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</si>
  <si>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</si>
  <si>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</si>
  <si>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</si>
  <si>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</si>
  <si>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</si>
  <si>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</si>
  <si>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</si>
  <si>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</si>
  <si>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</si>
  <si>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</si>
  <si>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</si>
  <si>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</si>
  <si>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</si>
  <si>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</si>
  <si>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</si>
  <si>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</si>
  <si>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</si>
  <si>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</si>
  <si>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</si>
  <si>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</si>
  <si>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</si>
  <si>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</si>
  <si>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</si>
  <si>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</si>
  <si>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</si>
  <si>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</si>
  <si>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</si>
  <si>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</si>
  <si>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</si>
  <si>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</si>
  <si>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</si>
  <si>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</si>
  <si>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</si>
  <si>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</si>
  <si>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</si>
  <si>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</si>
  <si>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</si>
  <si>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</si>
  <si>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</si>
  <si>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</si>
  <si>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</si>
  <si>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</si>
  <si>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</si>
  <si>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</si>
  <si>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</si>
  <si>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</si>
  <si>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</si>
  <si>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</si>
  <si>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</si>
  <si>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</si>
  <si>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</si>
  <si>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</si>
  <si>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</si>
  <si>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</si>
  <si>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</si>
  <si>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</si>
  <si>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</si>
  <si>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</si>
  <si>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</si>
  <si>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</si>
  <si>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</si>
  <si>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</si>
  <si>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</si>
  <si>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</si>
  <si>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</si>
  <si>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</si>
  <si>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</si>
  <si>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</si>
  <si>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</si>
  <si>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</si>
  <si>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</si>
  <si>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</si>
  <si>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</si>
  <si>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</si>
  <si>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</si>
  <si>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</si>
  <si>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</si>
  <si>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</si>
  <si>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</si>
  <si>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</si>
  <si>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</si>
  <si>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</si>
  <si>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</si>
  <si>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</si>
  <si>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</si>
  <si>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</si>
  <si>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</si>
  <si>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</si>
  <si>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</si>
  <si>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</si>
  <si>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</si>
  <si>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</si>
  <si>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</si>
  <si>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</si>
  <si>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</si>
  <si>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</si>
  <si>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</si>
  <si>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</si>
  <si>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</si>
  <si>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</si>
  <si>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</si>
  <si>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</si>
  <si>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</si>
  <si>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</si>
  <si>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</si>
  <si>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</si>
  <si>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</si>
  <si>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</si>
  <si>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</si>
  <si>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</si>
  <si>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</si>
  <si>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</si>
  <si>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</si>
  <si>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</si>
  <si>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</si>
  <si>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</si>
  <si>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</si>
  <si>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</si>
  <si>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</si>
  <si>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</si>
  <si>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</si>
  <si>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</si>
  <si>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</si>
  <si>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</si>
  <si>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</si>
  <si>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</si>
  <si>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</si>
  <si>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</si>
  <si>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</si>
  <si>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</si>
  <si>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</si>
  <si>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</si>
  <si>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</si>
  <si>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</si>
  <si>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</si>
  <si>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</si>
  <si>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</si>
  <si>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</si>
  <si>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</si>
  <si>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</si>
  <si>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</si>
  <si>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</si>
  <si>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</si>
  <si>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</si>
  <si>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</si>
  <si>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</si>
  <si>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</si>
  <si>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</si>
  <si>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</si>
  <si>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</si>
  <si>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</si>
  <si>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</si>
  <si>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</si>
  <si>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</si>
  <si>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</si>
  <si>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912</t>
  </si>
  <si>
    <t>Казенные учреждения образования</t>
  </si>
  <si>
    <t>12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</si>
  <si>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</si>
  <si>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</si>
  <si>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</si>
  <si>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</si>
  <si>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</si>
  <si>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</si>
  <si>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</si>
  <si>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</si>
  <si>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</si>
  <si>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</si>
  <si>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</si>
  <si>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</si>
  <si>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</si>
  <si>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</si>
  <si>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</si>
  <si>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</si>
  <si>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</si>
  <si>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</si>
  <si>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</si>
  <si>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</si>
  <si>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</si>
  <si>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</si>
  <si>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</si>
  <si>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</si>
  <si>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</si>
  <si>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</si>
  <si>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</si>
  <si>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</si>
  <si>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</si>
  <si>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</si>
  <si>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</si>
  <si>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</si>
  <si>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</si>
  <si>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</si>
  <si>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</si>
  <si>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</si>
  <si>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</si>
  <si>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</si>
  <si>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</si>
  <si>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</si>
  <si>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</si>
  <si>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</si>
  <si>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</si>
  <si>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</si>
  <si>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</si>
  <si>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</si>
  <si>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</si>
  <si>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</si>
  <si>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</si>
  <si>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</si>
  <si>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</si>
  <si>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</si>
  <si>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</si>
  <si>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</si>
  <si>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</si>
  <si>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</si>
  <si>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</si>
  <si>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</si>
  <si>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</si>
  <si>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</si>
  <si>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</si>
  <si>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</si>
  <si>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</si>
  <si>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</si>
  <si>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</si>
  <si>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</si>
  <si>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</si>
  <si>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</si>
  <si>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</si>
  <si>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</si>
  <si>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</si>
  <si>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</si>
  <si>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</si>
  <si>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</si>
  <si>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</si>
  <si>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</si>
  <si>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</si>
  <si>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</si>
  <si>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</si>
  <si>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</si>
  <si>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</si>
  <si>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</si>
  <si>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</si>
  <si>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</si>
  <si>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</si>
  <si>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</si>
  <si>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</si>
  <si>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</si>
  <si>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</si>
  <si>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</si>
  <si>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</si>
  <si>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</si>
  <si>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05 0 00 00000</t>
  </si>
  <si>
    <t>05 1 00 00000</t>
  </si>
  <si>
    <t>05 1 01 00000</t>
  </si>
  <si>
    <t>06 0 00 00000</t>
  </si>
  <si>
    <t>06 1 00 00000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</si>
  <si>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</si>
  <si>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</si>
  <si>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</si>
  <si>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</si>
  <si>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</si>
  <si>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</si>
  <si>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</si>
  <si>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</si>
  <si>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</si>
  <si>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</si>
  <si>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</si>
  <si>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</si>
  <si>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</si>
  <si>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</si>
  <si>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</si>
  <si>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</si>
  <si>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</si>
  <si>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</si>
  <si>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</si>
  <si>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</si>
  <si>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</si>
  <si>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</si>
  <si>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</si>
  <si>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</si>
  <si>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</si>
  <si>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</si>
  <si>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</si>
  <si>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</si>
  <si>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</si>
  <si>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</si>
  <si>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</si>
  <si>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</si>
  <si>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</si>
  <si>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</si>
  <si>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</si>
  <si>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</si>
  <si>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</si>
  <si>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</si>
  <si>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</si>
  <si>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</si>
  <si>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</si>
  <si>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</si>
  <si>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</si>
  <si>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</si>
  <si>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</si>
  <si>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</si>
  <si>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</si>
  <si>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</si>
  <si>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</si>
  <si>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</si>
  <si>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</si>
  <si>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</si>
  <si>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</si>
  <si>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</si>
  <si>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</si>
  <si>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</si>
  <si>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</si>
  <si>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</si>
  <si>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</si>
  <si>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</si>
  <si>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</si>
  <si>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</si>
  <si>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</si>
  <si>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</si>
  <si>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</si>
  <si>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</si>
  <si>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</si>
  <si>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</si>
  <si>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</si>
  <si>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</si>
  <si>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</si>
  <si>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Основное мероприятие «Организация отдыха и оздоровления детей»</t>
  </si>
  <si>
    <t>Подпрограмма «Проведение комплексных мероприятий по борьбе с преступностью, противодействие коррупции»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</si>
  <si>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</si>
  <si>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</si>
  <si>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</si>
  <si>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</si>
  <si>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</si>
  <si>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</si>
  <si>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</si>
  <si>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</si>
  <si>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</si>
  <si>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</si>
  <si>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</si>
  <si>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</si>
  <si>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</si>
  <si>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</si>
  <si>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</si>
  <si>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</si>
  <si>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</si>
  <si>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</si>
  <si>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</si>
  <si>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</si>
  <si>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</si>
  <si>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</si>
  <si>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</si>
  <si>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</si>
  <si>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</si>
  <si>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</si>
  <si>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</si>
  <si>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</si>
  <si>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</si>
  <si>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</si>
  <si>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</si>
  <si>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</si>
  <si>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</si>
  <si>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</si>
  <si>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</si>
  <si>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</si>
  <si>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</si>
  <si>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</si>
  <si>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</si>
  <si>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</si>
  <si>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</si>
  <si>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</si>
  <si>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</si>
  <si>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</si>
  <si>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</si>
  <si>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</si>
  <si>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</si>
  <si>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</si>
  <si>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</si>
  <si>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</si>
  <si>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</si>
  <si>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</si>
  <si>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</si>
  <si>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</si>
  <si>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</si>
  <si>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</si>
  <si>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</si>
  <si>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</si>
  <si>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</si>
  <si>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</si>
  <si>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</si>
  <si>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</si>
  <si>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</si>
  <si>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</si>
  <si>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</si>
  <si>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</si>
  <si>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</si>
  <si>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</si>
  <si>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</si>
  <si>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</si>
  <si>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</si>
  <si>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</si>
  <si>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</si>
  <si>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</si>
  <si>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</si>
  <si>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</si>
  <si>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</si>
  <si>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</si>
  <si>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</si>
  <si>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</si>
  <si>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</si>
  <si>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</si>
  <si>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</si>
  <si>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</si>
  <si>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</si>
  <si>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</si>
  <si>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</si>
  <si>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</si>
  <si>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</si>
  <si>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</si>
  <si>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</si>
  <si>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</si>
  <si>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</si>
  <si>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</si>
  <si>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</si>
  <si>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</si>
  <si>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</si>
  <si>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</si>
  <si>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</si>
  <si>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</si>
  <si>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</si>
  <si>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</si>
  <si>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</si>
  <si>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</si>
  <si>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</si>
  <si>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</si>
  <si>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</si>
  <si>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</si>
  <si>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</si>
  <si>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</si>
  <si>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</si>
  <si>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</si>
  <si>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</si>
  <si>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</si>
  <si>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</si>
  <si>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</si>
  <si>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</si>
  <si>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</si>
  <si>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</si>
  <si>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</si>
  <si>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</si>
  <si>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</si>
  <si>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</si>
  <si>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</si>
  <si>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</si>
  <si>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</si>
  <si>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</si>
  <si>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</si>
  <si>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</si>
  <si>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</si>
  <si>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</si>
  <si>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</si>
  <si>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</si>
  <si>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</si>
  <si>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</si>
  <si>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</si>
  <si>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</si>
  <si>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</si>
  <si>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</si>
  <si>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</si>
  <si>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</si>
  <si>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</si>
  <si>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</si>
  <si>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</si>
  <si>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</si>
  <si>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</si>
  <si>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</si>
  <si>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</si>
  <si>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</si>
  <si>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</si>
  <si>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изменения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</si>
  <si>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</si>
  <si>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</si>
  <si>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</si>
  <si>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</si>
  <si>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</si>
  <si>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</si>
  <si>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</si>
  <si>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</si>
  <si>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</si>
  <si>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</si>
  <si>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</si>
  <si>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</si>
  <si>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</si>
  <si>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</si>
  <si>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</si>
  <si>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</si>
  <si>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</si>
  <si>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</si>
  <si>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</si>
  <si>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</si>
  <si>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</si>
  <si>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Таблица 1</t>
  </si>
  <si>
    <t>Общая сумма</t>
  </si>
  <si>
    <t>2020 год</t>
  </si>
  <si>
    <t>2021 год</t>
  </si>
  <si>
    <t>2022 год</t>
  </si>
  <si>
    <t>Долг на 01.01.2020 г.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</si>
  <si>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</si>
  <si>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</si>
  <si>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</si>
  <si>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</si>
  <si>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</si>
  <si>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</si>
  <si>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</si>
  <si>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</si>
  <si>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</si>
  <si>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</si>
  <si>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</si>
  <si>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</si>
  <si>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</si>
  <si>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</si>
  <si>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</si>
  <si>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</si>
  <si>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</si>
  <si>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</si>
  <si>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</si>
  <si>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</si>
  <si>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</si>
  <si>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</si>
  <si>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</si>
  <si>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08 2 01 00300</t>
  </si>
  <si>
    <t>08 2 01 00310</t>
  </si>
  <si>
    <t>08 4 01 40020</t>
  </si>
  <si>
    <t>08 4 01 00280</t>
  </si>
  <si>
    <t>08 5 01 00330</t>
  </si>
  <si>
    <t>08 5 01 00350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</si>
  <si>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</si>
  <si>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</si>
  <si>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</si>
  <si>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</si>
  <si>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</si>
  <si>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</si>
  <si>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</si>
  <si>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</si>
  <si>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</si>
  <si>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</si>
  <si>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</si>
  <si>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</si>
  <si>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</si>
  <si>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</si>
  <si>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</si>
  <si>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</si>
  <si>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</si>
  <si>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</si>
  <si>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</si>
  <si>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</si>
  <si>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</si>
  <si>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</si>
  <si>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</si>
  <si>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</si>
  <si>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</si>
  <si>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</si>
  <si>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</si>
  <si>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</si>
  <si>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</si>
  <si>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</si>
  <si>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</si>
  <si>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</si>
  <si>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</si>
  <si>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</si>
  <si>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</si>
  <si>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</si>
  <si>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</si>
  <si>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</si>
  <si>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</si>
  <si>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</si>
  <si>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</si>
  <si>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</si>
  <si>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</si>
  <si>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</si>
  <si>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</si>
  <si>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</si>
  <si>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</si>
  <si>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</si>
  <si>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</si>
  <si>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</si>
  <si>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</si>
  <si>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</si>
  <si>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</si>
  <si>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</si>
  <si>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</si>
  <si>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</si>
  <si>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</si>
  <si>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</si>
  <si>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</si>
  <si>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</si>
  <si>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</si>
  <si>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</si>
  <si>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</si>
  <si>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</si>
  <si>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</si>
  <si>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</si>
  <si>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</si>
  <si>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</si>
  <si>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</si>
  <si>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</si>
  <si>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</si>
  <si>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</si>
  <si>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</si>
  <si>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</si>
  <si>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</si>
  <si>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</si>
  <si>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</si>
  <si>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</si>
  <si>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</si>
  <si>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</si>
  <si>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</si>
  <si>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</si>
  <si>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</si>
  <si>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</si>
  <si>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</si>
  <si>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</si>
  <si>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</si>
  <si>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</si>
  <si>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</si>
  <si>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</si>
  <si>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</si>
  <si>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</si>
  <si>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</si>
  <si>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</si>
  <si>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</si>
  <si>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</si>
  <si>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</si>
  <si>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</si>
  <si>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</si>
  <si>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</si>
  <si>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</si>
  <si>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</si>
  <si>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</si>
  <si>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</si>
  <si>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</si>
  <si>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</si>
  <si>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</si>
  <si>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</si>
  <si>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</si>
  <si>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</si>
  <si>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</si>
  <si>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</si>
  <si>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</si>
  <si>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</si>
  <si>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</si>
  <si>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</si>
  <si>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</si>
  <si>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</si>
  <si>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</si>
  <si>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</si>
  <si>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</si>
  <si>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</si>
  <si>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</si>
  <si>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</si>
  <si>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</si>
  <si>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</si>
  <si>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</si>
  <si>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</si>
  <si>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</si>
  <si>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</si>
  <si>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</si>
  <si>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</si>
  <si>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</si>
  <si>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</si>
  <si>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</si>
  <si>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</si>
  <si>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</si>
  <si>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</si>
  <si>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</si>
  <si>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</si>
  <si>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</si>
  <si>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</si>
  <si>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</si>
  <si>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</si>
  <si>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</si>
  <si>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</si>
  <si>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</si>
  <si>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</si>
  <si>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</si>
  <si>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</si>
  <si>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</si>
  <si>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</si>
  <si>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</si>
  <si>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</si>
  <si>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</si>
  <si>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</si>
  <si>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</si>
  <si>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</si>
  <si>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</si>
  <si>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</si>
  <si>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</si>
  <si>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</si>
  <si>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</si>
  <si>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</si>
  <si>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</si>
  <si>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</si>
  <si>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</si>
  <si>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</si>
  <si>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</si>
  <si>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</si>
  <si>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</si>
  <si>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</si>
  <si>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</si>
  <si>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</si>
  <si>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</si>
  <si>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</si>
  <si>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</si>
  <si>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</si>
  <si>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</si>
  <si>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</si>
  <si>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</si>
  <si>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</si>
  <si>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</si>
  <si>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</si>
  <si>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</si>
  <si>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</si>
  <si>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</si>
  <si>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</si>
  <si>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</si>
  <si>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</si>
  <si>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</si>
  <si>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</si>
  <si>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</si>
  <si>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</si>
  <si>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</si>
  <si>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</si>
  <si>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00370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</si>
  <si>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</si>
  <si>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</si>
  <si>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</si>
  <si>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</si>
  <si>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</si>
  <si>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</si>
  <si>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</si>
  <si>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</si>
  <si>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</si>
  <si>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</si>
  <si>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</si>
  <si>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</si>
  <si>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</si>
  <si>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</si>
  <si>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</si>
  <si>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</si>
  <si>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</si>
  <si>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</si>
  <si>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</si>
  <si>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</si>
  <si>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</si>
  <si>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</si>
  <si>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</si>
  <si>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</si>
  <si>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</si>
  <si>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</si>
  <si>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</si>
  <si>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</si>
  <si>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</si>
  <si>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</si>
  <si>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</si>
  <si>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</si>
  <si>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</si>
  <si>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</si>
  <si>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</si>
  <si>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</si>
  <si>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</si>
  <si>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</si>
  <si>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</si>
  <si>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</si>
  <si>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</si>
  <si>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</si>
  <si>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</si>
  <si>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</si>
  <si>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</si>
  <si>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</si>
  <si>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</si>
  <si>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</si>
  <si>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</si>
  <si>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</si>
  <si>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</si>
  <si>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</si>
  <si>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</si>
  <si>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</si>
  <si>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</si>
  <si>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</si>
  <si>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</si>
  <si>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</si>
  <si>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</si>
  <si>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</si>
  <si>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</si>
  <si>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</si>
  <si>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</si>
  <si>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</si>
  <si>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</si>
  <si>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</si>
  <si>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</si>
  <si>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</si>
  <si>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</si>
  <si>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</si>
  <si>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</si>
  <si>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</si>
  <si>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</si>
  <si>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</si>
  <si>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</si>
  <si>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</si>
  <si>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</si>
  <si>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</si>
  <si>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</si>
  <si>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</si>
  <si>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</si>
  <si>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</si>
  <si>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</si>
  <si>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</si>
  <si>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</si>
  <si>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</si>
  <si>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</si>
  <si>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</si>
  <si>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</si>
  <si>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</si>
  <si>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</si>
  <si>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</si>
  <si>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</si>
  <si>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</si>
  <si>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</si>
  <si>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</si>
  <si>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</si>
  <si>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</si>
  <si>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</si>
  <si>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</si>
  <si>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</si>
  <si>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</si>
  <si>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</si>
  <si>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</si>
  <si>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</si>
  <si>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</si>
  <si>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</si>
  <si>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</si>
  <si>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</si>
  <si>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</si>
  <si>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</si>
  <si>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</si>
  <si>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</si>
  <si>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</si>
  <si>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</si>
  <si>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</si>
  <si>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</si>
  <si>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</si>
  <si>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</si>
  <si>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</si>
  <si>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</si>
  <si>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</si>
  <si>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</si>
  <si>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</si>
  <si>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</si>
  <si>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</si>
  <si>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</si>
  <si>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</si>
  <si>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</si>
  <si>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</si>
  <si>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</si>
  <si>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</si>
  <si>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</si>
  <si>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</si>
  <si>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</si>
  <si>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</si>
  <si>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</si>
  <si>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</si>
  <si>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</si>
  <si>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</si>
  <si>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</si>
  <si>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</si>
  <si>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00660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</si>
  <si>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</si>
  <si>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</si>
  <si>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</si>
  <si>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</si>
  <si>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</si>
  <si>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</si>
  <si>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</si>
  <si>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</si>
  <si>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</si>
  <si>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</si>
  <si>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</si>
  <si>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</si>
  <si>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1101</t>
  </si>
  <si>
    <t>Физическая культура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</si>
  <si>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</si>
  <si>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</si>
  <si>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</si>
  <si>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</si>
  <si>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</si>
  <si>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</si>
  <si>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</si>
  <si>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</si>
  <si>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</si>
  <si>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</si>
  <si>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</si>
  <si>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</si>
  <si>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20210</t>
  </si>
  <si>
    <t>Плата за размещение отходов производства</t>
  </si>
  <si>
    <t>048 1 12 01041 01 0000 120</t>
  </si>
  <si>
    <t>08 6 01 00650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</si>
  <si>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</si>
  <si>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</si>
  <si>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2021 год  руб.</t>
  </si>
  <si>
    <t>2024 год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</si>
  <si>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</si>
  <si>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</si>
  <si>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</si>
  <si>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</si>
  <si>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</si>
  <si>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</si>
  <si>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</si>
  <si>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</si>
  <si>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</si>
  <si>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</si>
  <si>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</si>
  <si>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</si>
  <si>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</si>
  <si>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</si>
  <si>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</si>
  <si>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</si>
  <si>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</si>
  <si>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</si>
  <si>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</si>
  <si>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</si>
  <si>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</si>
  <si>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</si>
  <si>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</si>
  <si>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</si>
  <si>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</si>
  <si>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</si>
  <si>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</si>
  <si>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</si>
  <si>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</si>
  <si>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</si>
  <si>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</si>
  <si>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</si>
  <si>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</si>
  <si>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</si>
  <si>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</si>
  <si>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</si>
  <si>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</si>
  <si>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</si>
  <si>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</si>
  <si>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</si>
  <si>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</si>
  <si>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</si>
  <si>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</si>
  <si>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</si>
  <si>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</si>
  <si>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</si>
  <si>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</si>
  <si>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</si>
  <si>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</si>
  <si>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</si>
  <si>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</si>
  <si>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</si>
  <si>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</si>
  <si>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000 2 19 00000 05 0000 150</t>
  </si>
  <si>
    <t>000 2 19 60010 05 0000 150</t>
  </si>
  <si>
    <t>037 2 19 60010 05 0000 150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</si>
  <si>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</si>
  <si>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</si>
  <si>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</si>
  <si>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</si>
  <si>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</si>
  <si>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</si>
  <si>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</si>
  <si>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</si>
  <si>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</si>
  <si>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</si>
  <si>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</si>
  <si>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</si>
  <si>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</si>
  <si>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</si>
  <si>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</si>
  <si>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</si>
  <si>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</si>
  <si>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</si>
  <si>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</si>
  <si>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</si>
  <si>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</si>
  <si>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</si>
  <si>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</si>
  <si>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</si>
  <si>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</si>
  <si>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</si>
  <si>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</si>
  <si>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</si>
  <si>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</si>
  <si>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</si>
  <si>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</si>
  <si>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</si>
  <si>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</si>
  <si>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</si>
  <si>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</si>
  <si>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</si>
  <si>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</si>
  <si>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</si>
  <si>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</si>
  <si>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</si>
  <si>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</si>
  <si>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</si>
  <si>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</si>
  <si>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</si>
  <si>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</si>
  <si>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</si>
  <si>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</si>
  <si>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</si>
  <si>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</si>
  <si>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</si>
  <si>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</si>
  <si>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</si>
  <si>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</si>
  <si>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</si>
  <si>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</si>
  <si>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</si>
  <si>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</si>
  <si>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</si>
  <si>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</si>
  <si>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</si>
  <si>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</si>
  <si>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</si>
  <si>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</si>
  <si>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</si>
  <si>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</si>
  <si>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</si>
  <si>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</si>
  <si>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</si>
  <si>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</si>
  <si>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</si>
  <si>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</si>
  <si>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</si>
  <si>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</si>
  <si>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</si>
  <si>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</si>
  <si>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</si>
  <si>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</si>
  <si>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</si>
  <si>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</si>
  <si>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</si>
  <si>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</si>
  <si>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</si>
  <si>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</si>
  <si>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</si>
  <si>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</si>
  <si>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</si>
  <si>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</si>
  <si>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</si>
  <si>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</si>
  <si>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</si>
  <si>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</si>
  <si>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</si>
  <si>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</si>
  <si>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</si>
  <si>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</si>
  <si>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</si>
  <si>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</si>
  <si>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</si>
  <si>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</si>
  <si>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</si>
  <si>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</si>
  <si>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</si>
  <si>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</si>
  <si>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</si>
  <si>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</si>
  <si>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</si>
  <si>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</si>
  <si>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>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</si>
  <si>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</si>
  <si>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</si>
  <si>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00720</t>
  </si>
  <si>
    <t>Плата за размещение твердых коммунальных отходов</t>
  </si>
  <si>
    <t>048 1 12 01042 01 0000 120</t>
  </si>
  <si>
    <t>1 12 01041 01 0000 120</t>
  </si>
  <si>
    <t>1 12 01042 01 0000 120</t>
  </si>
  <si>
    <t>037 2 02 27567 05 0000 150</t>
  </si>
  <si>
    <t>000 2 02 27567 05 0000 150</t>
  </si>
  <si>
    <t>000 2 02 27567 00 0000 150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</si>
  <si>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</si>
  <si>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</si>
  <si>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</si>
  <si>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03 1 01 20250</t>
  </si>
  <si>
    <t>Разработка проектно-сметной документации на капитальный ремонт моста через мелиоративную канаву на автомобильной дороге Васильевское - Меньщиково в Шуйском муниципальном районе (Закупка товаров, работ и услуг для обеспечения государственных (муниципальных) нужд)</t>
  </si>
  <si>
    <t>20250</t>
  </si>
  <si>
    <r>
      <t>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11 09035 05 0000 120</t>
    </r>
  </si>
  <si>
    <t>08 7 01 R0820</t>
  </si>
  <si>
    <t xml:space="preserve">Изготовление наглядной агитации (листовок, плакатов, буклетов и др.) в области антитеррористической пропаганды (Закупка товаров, работ и услуг для обеспечения государственных (муниципальных) нужд) </t>
  </si>
  <si>
    <t xml:space="preserve">Изготовление наглядной агитации (листовок, плакатов, буклетов и др.) в области профилактики наркомании и алкоголизации населения (Закупка товаров, работ и услуг для обеспечения государственных (муниципальных) нужд) </t>
  </si>
  <si>
    <t>20260</t>
  </si>
  <si>
    <t>R0820</t>
  </si>
  <si>
    <t>E2</t>
  </si>
  <si>
    <t>50970</t>
  </si>
  <si>
    <t>07 2 01 L5192</t>
  </si>
  <si>
    <t>L5192</t>
  </si>
  <si>
    <t>Подключение муниципальных общедоступных библиотек к информационно-коммуникационной сети «Интернет» и развитие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</si>
  <si>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000 2 02 20077 00 0000 150</t>
  </si>
  <si>
    <t>000 2 02 20077 05 0000 150</t>
  </si>
  <si>
    <t>037 2 02 20077 05 0000 150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</si>
  <si>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</si>
  <si>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</si>
  <si>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2 02 20077 05 0000 150</t>
  </si>
  <si>
    <t>Текущий ремонт дорожной сети Шуйского муниципального района (Капитальные вложения в объекты государственной (муниципальной) собственности)</t>
  </si>
  <si>
    <t>20270</t>
  </si>
  <si>
    <t>00780</t>
  </si>
  <si>
    <t>00790</t>
  </si>
  <si>
    <t>Основное мероприятие «Оказание имущественной поддержки субъектам малого и среднего предпринимательства»</t>
  </si>
  <si>
    <t>Проведение государственной экспертизы проектной документации, результатов инженерных изысканий, достоверности определения сметной стоимости объекта "Реконструкция автомобильной дороги Введенье-Мизгино-Чернцы на участке Введенье-Мизгино" (Капитальные вложения в объекты государственной (муниципальной) собственности)</t>
  </si>
  <si>
    <t xml:space="preserve">Дополнение перечня муниципального имущества объектами имущества для предоставления субъектам малого и среднего предпринимательства в аренду   (Закупка товаров, работ и услуг для обеспечения государственных (муниципальных) нужд) </t>
  </si>
  <si>
    <t xml:space="preserve">Размещение информации о процедурах предоставления субъектам МСП имущества во владение (пользование) в СМИ и на официальном сайте Администрации Шуйского муниципального района в сети "Интернет"  (Закупка товаров, работ и услуг для обеспечения государственных (муниципальных) нужд) </t>
  </si>
  <si>
    <t>900 1 13 02995 05 0000 130</t>
  </si>
  <si>
    <t>037 2 02 40014 05 0000 150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</si>
  <si>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</si>
  <si>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</si>
  <si>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Осуществление деятельности по организации электро-, теплоснабжения на территории Шуйского муниципального района (Капитальные вложения в объекты государственной (муниципальной) собственности)</t>
  </si>
  <si>
    <t>Доходы бюджета Шуйского муниципального района по кодам классификации доходов на 2020 год и на плановый период 2021 и 2022 годов</t>
  </si>
  <si>
    <t>Нормативы распределения доходов между бюджетом Шуйского муниципального района и бюджетами поселений Шуйского муниципального района 2020 год и на плановый период 2021 и 2022 годов</t>
  </si>
  <si>
    <t>Перечень и коды главных администраторов доходов бюджета Шуйского муниципального района на 2020 год и на плановый период 2021 и 2022 годов</t>
  </si>
  <si>
    <t>Источники внутреннего финансирования дефицита бюджета Шуйского муниципального района на 2020 год и на плановый период 2021 и 2022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</si>
  <si>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2020 год и на плановый период 2021 и 2022 годов по кодам классификации источников финансирования дефицита бюджета</t>
  </si>
  <si>
    <t>2022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</si>
  <si>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год</t>
  </si>
  <si>
    <t>2020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</si>
  <si>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2021 и 2022 годы</t>
  </si>
  <si>
    <t>(в ред. Решения Совета Шуйского муниципального района от _______________ №____)</t>
  </si>
  <si>
    <t>000 1 16 01000 01 0000 140</t>
  </si>
  <si>
    <t>Административные штрафы, установленные Кодекcом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</si>
  <si>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</si>
  <si>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</si>
  <si>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</si>
  <si>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</si>
  <si>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</si>
  <si>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</si>
  <si>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</si>
  <si>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</si>
  <si>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</si>
  <si>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</si>
  <si>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</si>
  <si>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</si>
  <si>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000 1 16 01120 01 0000 140</t>
  </si>
  <si>
    <t>000 1 16 01123 01 0000 140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</si>
  <si>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</si>
  <si>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</si>
  <si>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</si>
  <si>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</si>
  <si>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</si>
  <si>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</si>
  <si>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</si>
  <si>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</si>
  <si>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</si>
  <si>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</si>
  <si>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Ведомственная структура расходов бюджета Шуйского муниципального района на 2020 год </t>
  </si>
  <si>
    <t>Ведомственная структура расходов бюджета Шуйского муниципального района на 2021 и 2022 годы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</si>
  <si>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</si>
  <si>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</si>
  <si>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2020 год и на плановый период 2021 и 2022 годов</t>
  </si>
  <si>
    <t>Программа муниципальных внутренних заимствований  Шуйского муниципального района на 2020 год и плановый период 2021 и 2022 годов</t>
  </si>
  <si>
    <t>Программа муниципальных гарантий Шуйского муниципального района в валюте Российской Федерации на 2020 год и на плановый период 2021 и 2022 годов</t>
  </si>
  <si>
    <t>1.1. Перечень подлежащих предоставлению муниципальных гарантий Шуйского муниципального района в 2020-2022 годах</t>
  </si>
  <si>
    <t>Предоставление гарантий в 2020, 2021, 2022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</si>
  <si>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2020 году и на плановый период 2021 и 2022 годов, а также на исполнение гарантий по возможным гарантийным случаям, которые возникнут в будущем          </t>
  </si>
  <si>
    <t>2025 год</t>
  </si>
  <si>
    <t>Проект программы муниципальных внутренних заимствований  на 2020 год  и на плановый период 2021 и 2022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</si>
  <si>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01.01.2023 года</t>
  </si>
  <si>
    <t xml:space="preserve">Верхний предел муниципального внутреннего долга Шуйского муниципального района по состоянию на 01.01.2023 года - 00,00 рублей, в т.ч. по муниципальным гарантиям - 00,00 рублей. </t>
  </si>
  <si>
    <t>Увеличение долга в 2022 году</t>
  </si>
  <si>
    <t>Погашение долга в 2022 году</t>
  </si>
  <si>
    <t>Долг на 01.01.2023 г.</t>
  </si>
  <si>
    <t>ДОХОДЫ</t>
  </si>
  <si>
    <t>налог и неналог</t>
  </si>
  <si>
    <t>дотация</t>
  </si>
  <si>
    <t>всего местные</t>
  </si>
  <si>
    <t>дотация на  сбалансиров</t>
  </si>
  <si>
    <t>Межбюд трансф Колобово</t>
  </si>
  <si>
    <t>зарплата</t>
  </si>
  <si>
    <t xml:space="preserve">Информационное обеспечение мероприятий, связанных с вопросами по улучшению условий и охраны труда в Администрации Шуйского муниципального района (Закупка товаров, работ и услуг для обеспечения государственных (муниципальных) нужд) </t>
  </si>
  <si>
    <t>00810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</si>
  <si>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полномочий, установленных законодательством Российской Федерации (Иные межбюджетные ассигнования)</t>
  </si>
  <si>
    <t>Свободные к распределению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</si>
  <si>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</si>
  <si>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00820</t>
  </si>
  <si>
    <t>00830</t>
  </si>
  <si>
    <t>00840</t>
  </si>
  <si>
    <t>00850</t>
  </si>
  <si>
    <t>07 1 02 00000</t>
  </si>
  <si>
    <t>07 1 02 00860</t>
  </si>
  <si>
    <t>00860</t>
  </si>
  <si>
    <t>00870</t>
  </si>
  <si>
    <t>Подпрограмма «Развитие туризма в Шуйском муниципальном районе»</t>
  </si>
  <si>
    <t>07 3 00 00000</t>
  </si>
  <si>
    <t>07 3 01 00000</t>
  </si>
  <si>
    <t xml:space="preserve">Развитие туризма в Шуйском муниципальном районе (Закупка товаров, работ и услуг для обеспечения государственных (муниципальных) нужд) </t>
  </si>
  <si>
    <t>07 3 01 00870</t>
  </si>
  <si>
    <t>Резервный фонд</t>
  </si>
  <si>
    <t>0111</t>
  </si>
  <si>
    <t>Резервный фонд администрации Шуйского муниципального района (Иные бюджетные ассигнования)</t>
  </si>
  <si>
    <t>02 2 02 00850</t>
  </si>
  <si>
    <t>30 9 00 00810</t>
  </si>
  <si>
    <t>10 4 01 00840</t>
  </si>
  <si>
    <t>Основное мероприятие «Организация и проведение культурно-массовых мероприятий»</t>
  </si>
  <si>
    <t>10030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</si>
  <si>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</si>
  <si>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</si>
  <si>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ИТОГО:</t>
  </si>
  <si>
    <t>10 1 01 80110</t>
  </si>
  <si>
    <t>03 3 00 00000</t>
  </si>
  <si>
    <t>03 3 01 00000</t>
  </si>
  <si>
    <t>03 3 01 00610</t>
  </si>
  <si>
    <t>03 3 01 00620</t>
  </si>
  <si>
    <t>05 1 01 00370</t>
  </si>
  <si>
    <t>05 1 01 00060</t>
  </si>
  <si>
    <t>05 1 01 00120</t>
  </si>
  <si>
    <t>05 1 01 00510</t>
  </si>
  <si>
    <t>05 1 01 00520</t>
  </si>
  <si>
    <t>05 1 02 00000</t>
  </si>
  <si>
    <t>05 1 02 00530</t>
  </si>
  <si>
    <t>05 1 02 00560</t>
  </si>
  <si>
    <t>05 1 02 00550</t>
  </si>
  <si>
    <t>05 1 03 00000</t>
  </si>
  <si>
    <t>05 1 03 00580</t>
  </si>
  <si>
    <t>05 1 03 00830</t>
  </si>
  <si>
    <t>05 1 03 00820</t>
  </si>
  <si>
    <t>05 1 03 00590</t>
  </si>
  <si>
    <t>06 1 01 83160</t>
  </si>
  <si>
    <t>05</t>
  </si>
  <si>
    <t>Основное мероприятие «Продвижение  туристического продукта»</t>
  </si>
  <si>
    <t>10 3 01 00840</t>
  </si>
  <si>
    <t>Муниципальная программа «Развитие культуры и туризма в Шуйском муниципальном районе»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</si>
  <si>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</si>
  <si>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</si>
  <si>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05 1 01 00890</t>
  </si>
  <si>
    <t>00890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</si>
  <si>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</si>
  <si>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05 1 02 00900</t>
  </si>
  <si>
    <t>00900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</si>
  <si>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</si>
  <si>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</si>
  <si>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30 9 00 20280</t>
  </si>
  <si>
    <t>20280</t>
  </si>
  <si>
    <t>04 2 00 00000</t>
  </si>
  <si>
    <t>04 2 01 00000</t>
  </si>
  <si>
    <t xml:space="preserve">Подпрограмма «Имущественная поддержка субъектов малого и среднего предпринимательства» </t>
  </si>
  <si>
    <t>Подпрограмма «Эффективное управление муниципальным имуществом Шуйского муниципального района»</t>
  </si>
  <si>
    <t>Подпрограмма «Эффективное управление земельными ресурсами Шуйского муниципального района»</t>
  </si>
  <si>
    <t>01 2 01 0000</t>
  </si>
  <si>
    <t>01 2 00 0000</t>
  </si>
  <si>
    <t>01 2 01 20020</t>
  </si>
  <si>
    <t>04 2 01 00780</t>
  </si>
  <si>
    <t>04 2 01 00790</t>
  </si>
  <si>
    <t xml:space="preserve">Организация и проведение мероприятия «День предпринимателя» (Закупка товаров, работ и услуг для обеспечения государственных (муниципальных) нужд)  </t>
  </si>
  <si>
    <t>Предоставление субсидий из бюджета Шуйского муниципального района 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</si>
  <si>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Подпрограмма «Сохранение и развитие культурного потенциала Шуйского муниципального района»</t>
  </si>
  <si>
    <t>000 1 08 03010 01 0000 110</t>
  </si>
  <si>
    <t>1 16 01053 01 0000 140</t>
  </si>
  <si>
    <t>1 16 01063 01 0000 140</t>
  </si>
  <si>
    <t>1 16 01073 01 0000 140</t>
  </si>
  <si>
    <t>1 16 01203 01 0000 140</t>
  </si>
  <si>
    <t>1 16 01123 01 0000 140</t>
  </si>
  <si>
    <t xml:space="preserve">Организация обучения по охране труда работников в  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</si>
  <si>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05 1 02 00920</t>
  </si>
  <si>
    <t>00920</t>
  </si>
  <si>
    <t>11 1 01 60160</t>
  </si>
  <si>
    <t>11 1 01 00390</t>
  </si>
  <si>
    <t>11 1 01 S0190</t>
  </si>
  <si>
    <t>11 1 01 80200</t>
  </si>
  <si>
    <t>11 1 02 00000</t>
  </si>
  <si>
    <t>11 1 02 00220</t>
  </si>
  <si>
    <t>11 1 02 20090</t>
  </si>
  <si>
    <t>11 1 02 00660</t>
  </si>
  <si>
    <t>11 1 02 80350</t>
  </si>
  <si>
    <t>11 1 02 80360</t>
  </si>
  <si>
    <t>11 1 03 00000</t>
  </si>
  <si>
    <t>11 1 03 20210</t>
  </si>
  <si>
    <t>11 1 03 20260</t>
  </si>
  <si>
    <t>11 2 00 00000</t>
  </si>
  <si>
    <t>11 2 01 00000</t>
  </si>
  <si>
    <t>11 2 01 20160</t>
  </si>
  <si>
    <t>11 2 02 00000</t>
  </si>
  <si>
    <t>11 2 02 00360</t>
  </si>
  <si>
    <t>11 2 02 00600</t>
  </si>
  <si>
    <t>11 2 02 00490</t>
  </si>
  <si>
    <t>11 3 00 00000</t>
  </si>
  <si>
    <t>11 3 01 00000</t>
  </si>
  <si>
    <t>11 3 01 00670</t>
  </si>
  <si>
    <t>023 1 16 01053 01 0000 140</t>
  </si>
  <si>
    <t>023 1 16 01063 01 0000 140</t>
  </si>
  <si>
    <t>023 1 16 01073 01 0000 140</t>
  </si>
  <si>
    <t>023 1 16 01123 01 0000 140</t>
  </si>
  <si>
    <t>023 1 16 01203 01 0000 140</t>
  </si>
  <si>
    <t>Департамент социальной защиты населения Ивановской области</t>
  </si>
  <si>
    <t>023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</si>
  <si>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</si>
  <si>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</si>
  <si>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</si>
  <si>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Подпрограмма «Повышение уровня безопасности дорожного движения в Шуйском муниципальном районе»</t>
  </si>
  <si>
    <t>Организация мероприятий молодежной политики (Предоставление субсидий бюджетным, автономным учреждениям и иным некоммерческим организациям)</t>
  </si>
  <si>
    <t xml:space="preserve">Организация и проведение культурно-массовых мероприятий (Предоставление субсидий бюджетным, автономным учреждениям и иным некоммерческим организациям) </t>
  </si>
  <si>
    <t xml:space="preserve">Организация и проведение культурно-массовых мероприятий  (Предоставление субсидий бюджетным, автономным учреждениям и иным некоммерческим организациям) </t>
  </si>
  <si>
    <r>
      <t>от 12.12.2019 № 78</t>
    </r>
    <r>
      <rPr>
        <u val="single"/>
        <sz val="12"/>
        <rFont val="Times New Roman"/>
        <family val="1"/>
      </rPr>
      <t xml:space="preserve">      </t>
    </r>
  </si>
  <si>
    <t>от 12.12.2019 № 78</t>
  </si>
  <si>
    <t xml:space="preserve">                                            от 12.12.2019 № 78       </t>
  </si>
  <si>
    <t>(в ред. Решения Совета Шуйского муниципального района от _____________.2020 №___)</t>
  </si>
  <si>
    <t>(в ред. Решения Совета Шуйского муниципального района от ___________2020 № ___)</t>
  </si>
  <si>
    <r>
      <t>от 12.12.2019 № 78</t>
    </r>
    <r>
      <rPr>
        <u val="single"/>
        <sz val="12"/>
        <rFont val="Times New Roman"/>
        <family val="1"/>
      </rPr>
      <t xml:space="preserve">   </t>
    </r>
  </si>
  <si>
    <t>(в ред. Решения Совета Шуйского муниципального района от _______.2020 №_____ )</t>
  </si>
  <si>
    <t>(в ред. Решения Совета Шуйского муниципального района от __________.2020 № ____)</t>
  </si>
  <si>
    <r>
      <t>от 12.12.2019 № 78</t>
    </r>
    <r>
      <rPr>
        <u val="single"/>
        <sz val="12"/>
        <rFont val="Times New Roman"/>
        <family val="1"/>
      </rPr>
      <t xml:space="preserve">  </t>
    </r>
  </si>
  <si>
    <t>БЫЛО</t>
  </si>
  <si>
    <t>Субсидии бюджетам муниципальных районов,
городских округов Ивановской области на создание
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
организациях, расположенных в сельской местности
и малых городах</t>
  </si>
  <si>
    <t>Субсидии бюджетам муниципальных образований
Ивановской области на развитие транспортной инфраструктуры на сельских территориях (строительство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
расположенных на сельских территориях, объектам
производства и переработки продукции)</t>
  </si>
  <si>
    <t>Субсидии бюджетам муниципальных районов
и городских округов Ивановской области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</si>
  <si>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037 2 02 25169 05 0000 150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</si>
  <si>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</si>
  <si>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000 2 02 25169 00 0000 150</t>
  </si>
  <si>
    <t>000 2 02 25169 05 0000 150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</si>
  <si>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</si>
  <si>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</si>
  <si>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000 2 02 27372 00 0000 150</t>
  </si>
  <si>
    <t>Субсидии бюджетам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</si>
  <si>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</si>
  <si>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000 2 02 27372 05 0000 150</t>
  </si>
  <si>
    <t>037 2 02 27372 05 0000 150</t>
  </si>
  <si>
    <t>Реконструкция и строительство автомобильных дорог (Капитальные вложения в объекты государственной (муниципальной) собственности)</t>
  </si>
  <si>
    <t>32 9 00 60490</t>
  </si>
  <si>
    <t>10 2 E1 51690</t>
  </si>
  <si>
    <t xml:space="preserve">Cоздание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</si>
  <si>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10 2 01 S0080</t>
  </si>
  <si>
    <t>L3721</t>
  </si>
  <si>
    <t>S0080</t>
  </si>
  <si>
    <t>Е1</t>
  </si>
  <si>
    <t>51690</t>
  </si>
  <si>
    <t>60490</t>
  </si>
  <si>
    <t>было</t>
  </si>
  <si>
    <t>Распределение субвенций, предоставляемых из бюджета Шуйского муниципального района бюджетам поселений на 2020 год и на плановый период 2021 и 2022 годов</t>
  </si>
  <si>
    <t>60500</t>
  </si>
  <si>
    <t>00930</t>
  </si>
  <si>
    <t xml:space="preserve">Внедрение в казенных общеобразовательных учреждениях целевой модели цифровой образовательной среды (Закупка товаров, работ и услуг для обеспечения государственных (муниципальных) нужд) </t>
  </si>
  <si>
    <t>10 2 01 00930</t>
  </si>
  <si>
    <t>10 2 01 60500</t>
  </si>
  <si>
    <t>Субсидия бюджетным учреждениям на внедрение в общеобразовательных учреждениях целевой модели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</si>
  <si>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Субсидия бюджетным учреждениям общего образования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</si>
  <si>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</si>
  <si>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</si>
  <si>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 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</si>
  <si>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</si>
  <si>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60510</t>
  </si>
  <si>
    <t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</si>
  <si>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Е4</t>
  </si>
  <si>
    <t>52100</t>
  </si>
  <si>
    <t xml:space="preserve">Внедрение целевой модели цифровой образовательной среды в общеобразовательных организациях (Закупка товаров, работ и услуг для обеспечения государственных (муниципальных) нужд) </t>
  </si>
  <si>
    <t>Внедрение целевой модели цифровой образовательной среды в общеобразовательных организациях (Предоставление субсидий бюджетным, автономным учреждениям и иным некоммерческим организациям)</t>
  </si>
  <si>
    <t>1 16 01084 01 0000 140</t>
  </si>
  <si>
    <t>1 16 01204 01 0000 140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</si>
  <si>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</si>
  <si>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</si>
  <si>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</si>
  <si>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</si>
  <si>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</si>
  <si>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</si>
  <si>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</si>
  <si>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000 2 02 25210 00 0000 150</t>
  </si>
  <si>
    <t>037 2 02 25210 05 0000 150</t>
  </si>
  <si>
    <t>переименовать строку</t>
  </si>
  <si>
    <t>2 02 27372 05 0000 150</t>
  </si>
  <si>
    <t>2 02 25169 05 0000 150</t>
  </si>
  <si>
    <t xml:space="preserve"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</si>
  <si>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10 2 Е4 52100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</si>
  <si>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</si>
  <si>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</si>
  <si>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</si>
  <si>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</si>
  <si>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</si>
  <si>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</si>
  <si>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</si>
  <si>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</si>
  <si>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000 2 18 60010 05 0000 150</t>
  </si>
  <si>
    <t>900 2 18 60010 05 0000 150</t>
  </si>
  <si>
    <t>000 2 18 00000 05 0000 150</t>
  </si>
  <si>
    <t>08 2 01 00720</t>
  </si>
  <si>
    <t>07 1 02 60510</t>
  </si>
  <si>
    <t>10 2 E2 50970</t>
  </si>
  <si>
    <t>0,00 добавить строку</t>
  </si>
  <si>
    <t xml:space="preserve"> добавить строку</t>
  </si>
  <si>
    <t>10 2 01 60490</t>
  </si>
  <si>
    <t>07 3 01 60520</t>
  </si>
  <si>
    <t>60520</t>
  </si>
  <si>
    <t>Развитие туризма в Шуйском муниципальном районе (Предоставление субсидий бюджетным, автономным учреждениям и иным некоммерческим организациям)</t>
  </si>
  <si>
    <t xml:space="preserve">Развитие туризма в Шуйском муниципальном районе  (Предоставление субсидий бюджетным, автономным учреждениям и иным некоммерческим организациям) 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</si>
  <si>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</si>
  <si>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</si>
  <si>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000 2 02 27576 00 0000 150</t>
  </si>
  <si>
    <t>000 2 02 27576 05 0000 150</t>
  </si>
  <si>
    <t>037 2 02 27576 05 0000 150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</si>
  <si>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</si>
  <si>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</si>
  <si>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Субвенции бюджетам муниципальных районов и городских округов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</si>
  <si>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(Иные бюджетные ассигнования)</t>
  </si>
  <si>
    <t>Подключение сети газораспределения для последующей газификации жилых домов д. Мизгино Шуйского района Ивановской области (Капитальные вложения в объекты государственной (муниципальной) собственности)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</si>
  <si>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</si>
  <si>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2 02 27576 05 0000 150</t>
  </si>
  <si>
    <t>Субсидии бюджетам муниципальных образований Ивановской области на развитие инженерной инфраструктуры на сельских территориях</t>
  </si>
  <si>
    <t>10 2 01 S0190</t>
  </si>
  <si>
    <t>10 2 01 80200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</si>
  <si>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 </t>
  </si>
  <si>
    <t>06 1 01 L5762</t>
  </si>
  <si>
    <t>08 1 01 S2990</t>
  </si>
  <si>
    <t>L5762</t>
  </si>
  <si>
    <t>S2990</t>
  </si>
  <si>
    <t>000 2 02 49999 05 0000 150</t>
  </si>
  <si>
    <t>Прочие межбюджетные трансферты, передаваемые бюджетам</t>
  </si>
  <si>
    <t>000 2 02 49999 00 0000 150</t>
  </si>
  <si>
    <t>30 9 00 80240</t>
  </si>
  <si>
    <t xml:space="preserve"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№714 "Об обеспечении жильем ветеранов Великой Отечественной войны 1941-1945 годов" и Федеральным законом от 12.01.1995 №5-ФЗ "О ветеранах" (Закупка товаров, работ и услуг для обеспечения государственных (муниципальных) нужд) </t>
  </si>
  <si>
    <t>80240</t>
  </si>
  <si>
    <t>900 2 02 49999 05 0000 150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</si>
  <si>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</si>
  <si>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</si>
  <si>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 xml:space="preserve">000 2 18 05010 05 0000 150
</t>
  </si>
  <si>
    <t xml:space="preserve">900 2 18 05010 05 0000 150
</t>
  </si>
  <si>
    <t xml:space="preserve">000 2 18 05000 05 0000 150
</t>
  </si>
  <si>
    <t>2 18 05010 05 0000 150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</si>
  <si>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</si>
  <si>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Субсидии бюджетам муниципальных образований Ивановской области на разработку проектно-сметной документации объектов социальной и инженерной инфраструктуры населенных пунктов, расположенных в сельской местности</t>
  </si>
  <si>
    <t>S3160</t>
  </si>
  <si>
    <t>Основное мероприятие «Организация и проведение оценки профессиональных рисков»</t>
  </si>
  <si>
    <t>05 1 04 00000</t>
  </si>
  <si>
    <t>05 1 04 00690</t>
  </si>
  <si>
    <t>05 1 04 00700</t>
  </si>
  <si>
    <t xml:space="preserve">Организация и проведение оценки профессиональных рисков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</si>
  <si>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оценки профессиональных рисков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</si>
  <si>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00700</t>
  </si>
  <si>
    <t xml:space="preserve"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
</t>
  </si>
  <si>
    <t>53031</t>
  </si>
  <si>
    <t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</si>
  <si>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</t>
  </si>
  <si>
    <t>86500</t>
  </si>
  <si>
    <t>037 2 02 49999 05 0000 150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</si>
  <si>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</si>
  <si>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037 2 02 45303 05 0000 150</t>
  </si>
  <si>
    <t>000 2 02 45303 05 0000 150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</si>
  <si>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</si>
  <si>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</si>
  <si>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</si>
  <si>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Разработка (корректировка) проектной документации и газификация населенных пунктов, объектов социальной инфраструктуры Шуйского муниципального района (Капитальные вложения в объекты государственной (муниципальной) собственности)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</si>
  <si>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</si>
  <si>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03 1 01 86500</t>
  </si>
  <si>
    <t>10 2 01 53031</t>
  </si>
  <si>
    <t>Основное мероприятие «Организация ремонта муниципального жилого фонда»</t>
  </si>
  <si>
    <t>Основное мероприятие «Развитие инженерной инфраструктуры на сельских территориях»</t>
  </si>
  <si>
    <t>06 1 02 00000</t>
  </si>
  <si>
    <t>Основное мероприятие «Развитие сети плоскостных спортивных сооружений на сельских территориях»</t>
  </si>
  <si>
    <t>Развитие сети плоскостных спортивных сооружений на сельских территориях (Капитальные вложения в объекты государственной (муниципальной) собственности)</t>
  </si>
  <si>
    <t>06 1 02 20270</t>
  </si>
  <si>
    <t>Основное мероприятие «Разработка проектно-сметной документации объектов социальной и инженерной инфраструктуры населенных пунктов, расположенных в сельской местности»</t>
  </si>
  <si>
    <t>06 1 03 00000</t>
  </si>
  <si>
    <t>06 1 03 S3160</t>
  </si>
  <si>
    <t>Основное мероприятие «Строительство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продукции»</t>
  </si>
  <si>
    <t>06 1 04 00000</t>
  </si>
  <si>
    <t>06 1 04 L3721</t>
  </si>
  <si>
    <t>06 1 05 00000</t>
  </si>
  <si>
    <t>06 1 05 20290</t>
  </si>
  <si>
    <t>Улучшение жилищных условий граждан, проживающих на сельских территориях (Капитальные вложения в объекты государственной (муниципальной) собственности)</t>
  </si>
  <si>
    <t>20290</t>
  </si>
  <si>
    <t>Основное мероприятие «Улучшение жилищных условий граждан, проживающих на сельских территориях»</t>
  </si>
  <si>
    <t>Подпрограмма «Комплексное развитие сельских территорий Шуйского муниципального района Ивановской области 2014-2017 годы и на период до 2020 года»</t>
  </si>
  <si>
    <t xml:space="preserve">000 2 02 25304 00 0000 150 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</si>
  <si>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</si>
  <si>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</si>
  <si>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</si>
  <si>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037 2 02 25304 05 0000 150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</si>
  <si>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</si>
  <si>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10 2 01 L3041</t>
  </si>
  <si>
    <t>L3041</t>
  </si>
  <si>
    <t xml:space="preserve"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 </t>
  </si>
  <si>
    <t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</si>
  <si>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</si>
  <si>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2 02 25304 05 0000 150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</si>
</sst>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  <numFmt numFmtId="185" formatCode="_-* #,##0.000_р_._-;\-* #,##0.000_р_._-;_-* &quot;-&quot;??_р_._-;_-@_-"/>
  </numFmts>
  <fonts count="6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8" fillId="0" borderId="12" xfId="53" applyFont="1" applyBorder="1" applyAlignment="1">
      <alignment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left" vertical="top" wrapText="1"/>
      <protection/>
    </xf>
    <xf numFmtId="0" fontId="6" fillId="33" borderId="13" xfId="54" applyFont="1" applyFill="1" applyBorder="1" applyAlignment="1">
      <alignment horizontal="center" vertical="top" wrapText="1"/>
      <protection/>
    </xf>
    <xf numFmtId="49" fontId="6" fillId="33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5" xfId="0" applyFont="1" applyFill="1" applyBorder="1" applyAlignment="1">
      <alignment/>
    </xf>
    <xf numFmtId="180" fontId="8" fillId="0" borderId="12" xfId="0" applyNumberFormat="1" applyFont="1" applyBorder="1" applyAlignment="1">
      <alignment/>
    </xf>
    <xf numFmtId="0" fontId="9" fillId="0" borderId="14" xfId="0" applyFont="1" applyBorder="1" applyAlignment="1">
      <alignment horizontal="justify" wrapText="1"/>
    </xf>
    <xf numFmtId="0" fontId="9" fillId="0" borderId="1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wrapText="1"/>
    </xf>
    <xf numFmtId="0" fontId="17" fillId="33" borderId="14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54" applyFont="1" applyBorder="1" applyAlignment="1">
      <alignment horizontal="center" vertical="center" wrapText="1"/>
      <protection/>
    </xf>
    <xf numFmtId="49" fontId="8" fillId="0" borderId="13" xfId="54" applyNumberFormat="1" applyFont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3" xfId="54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wrapText="1"/>
    </xf>
    <xf numFmtId="2" fontId="6" fillId="33" borderId="13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2" fillId="0" borderId="0" xfId="0" applyFont="1" applyAlignment="1">
      <alignment/>
    </xf>
    <xf numFmtId="0" fontId="8" fillId="0" borderId="11" xfId="0" applyFont="1" applyBorder="1" applyAlignment="1">
      <alignment horizontal="justify" vertical="top" wrapText="1"/>
    </xf>
    <xf numFmtId="0" fontId="8" fillId="0" borderId="12" xfId="53" applyFont="1" applyFill="1" applyBorder="1" applyAlignment="1">
      <alignment horizontal="center" vertical="center" wrapText="1"/>
      <protection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vertical="center"/>
    </xf>
    <xf numFmtId="2" fontId="6" fillId="33" borderId="13" xfId="54" applyNumberFormat="1" applyFont="1" applyFill="1" applyBorder="1" applyAlignment="1">
      <alignment horizontal="right" vertical="top" wrapText="1"/>
      <protection/>
    </xf>
    <xf numFmtId="2" fontId="8" fillId="0" borderId="13" xfId="54" applyNumberFormat="1" applyFont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4" fontId="6" fillId="33" borderId="13" xfId="54" applyNumberFormat="1" applyFont="1" applyFill="1" applyBorder="1" applyAlignment="1">
      <alignment horizontal="right" vertical="top" wrapText="1"/>
      <protection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13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top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12" fillId="0" borderId="20" xfId="0" applyNumberFormat="1" applyFont="1" applyBorder="1" applyAlignment="1">
      <alignment horizont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/>
    </xf>
    <xf numFmtId="179" fontId="12" fillId="0" borderId="21" xfId="0" applyNumberFormat="1" applyFont="1" applyBorder="1" applyAlignment="1">
      <alignment horizontal="center" wrapText="1"/>
    </xf>
    <xf numFmtId="179" fontId="13" fillId="0" borderId="21" xfId="0" applyNumberFormat="1" applyFont="1" applyBorder="1" applyAlignment="1">
      <alignment horizontal="center" wrapText="1"/>
    </xf>
    <xf numFmtId="179" fontId="12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 horizontal="justify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2" fontId="17" fillId="33" borderId="12" xfId="0" applyNumberFormat="1" applyFont="1" applyFill="1" applyBorder="1" applyAlignment="1">
      <alignment horizontal="center" vertical="top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53" applyNumberFormat="1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181" fontId="12" fillId="0" borderId="21" xfId="0" applyNumberFormat="1" applyFont="1" applyBorder="1" applyAlignment="1">
      <alignment horizontal="center" vertical="top" wrapText="1"/>
    </xf>
    <xf numFmtId="49" fontId="8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vertical="center"/>
    </xf>
    <xf numFmtId="4" fontId="8" fillId="35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2" fontId="8" fillId="34" borderId="13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wrapText="1"/>
      <protection/>
    </xf>
    <xf numFmtId="2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8" fillId="0" borderId="13" xfId="54" applyNumberFormat="1" applyFont="1" applyFill="1" applyBorder="1" applyAlignment="1">
      <alignment horizontal="center" vertical="center" wrapText="1"/>
      <protection/>
    </xf>
    <xf numFmtId="4" fontId="6" fillId="34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35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71" fontId="8" fillId="0" borderId="13" xfId="63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8" fillId="35" borderId="13" xfId="0" applyNumberFormat="1" applyFont="1" applyFill="1" applyBorder="1" applyAlignment="1">
      <alignment horizontal="center" vertical="center" wrapText="1"/>
    </xf>
    <xf numFmtId="171" fontId="8" fillId="0" borderId="13" xfId="63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vertical="center" wrapText="1"/>
      <protection/>
    </xf>
    <xf numFmtId="4" fontId="8" fillId="0" borderId="13" xfId="53" applyNumberFormat="1" applyFont="1" applyFill="1" applyBorder="1" applyAlignment="1">
      <alignment horizontal="center" vertical="top" wrapText="1"/>
      <protection/>
    </xf>
    <xf numFmtId="0" fontId="8" fillId="35" borderId="12" xfId="53" applyFont="1" applyFill="1" applyBorder="1" applyAlignment="1">
      <alignment wrapText="1"/>
      <protection/>
    </xf>
    <xf numFmtId="0" fontId="10" fillId="0" borderId="0" xfId="53" applyFont="1" applyFill="1">
      <alignment/>
      <protection/>
    </xf>
    <xf numFmtId="0" fontId="8" fillId="0" borderId="13" xfId="53" applyFont="1" applyBorder="1" applyAlignment="1">
      <alignment wrapText="1"/>
      <protection/>
    </xf>
    <xf numFmtId="0" fontId="8" fillId="0" borderId="1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4" fontId="6" fillId="34" borderId="13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8" fillId="33" borderId="27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8" fillId="0" borderId="26" xfId="0" applyFont="1" applyBorder="1" applyAlignment="1">
      <alignment horizontal="center" vertical="top" wrapText="1"/>
    </xf>
    <xf numFmtId="4" fontId="6" fillId="37" borderId="13" xfId="0" applyNumberFormat="1" applyFont="1" applyFill="1" applyBorder="1" applyAlignment="1">
      <alignment horizontal="center" vertical="center" wrapText="1"/>
    </xf>
    <xf numFmtId="0" fontId="6" fillId="19" borderId="13" xfId="0" applyNumberFormat="1" applyFont="1" applyFill="1" applyBorder="1" applyAlignment="1">
      <alignment horizontal="center" vertical="center"/>
    </xf>
    <xf numFmtId="171" fontId="8" fillId="0" borderId="13" xfId="63" applyFont="1" applyBorder="1" applyAlignment="1">
      <alignment horizontal="center" vertical="center"/>
    </xf>
    <xf numFmtId="171" fontId="6" fillId="0" borderId="13" xfId="63" applyFont="1" applyBorder="1" applyAlignment="1">
      <alignment horizontal="center" vertical="center"/>
    </xf>
    <xf numFmtId="0" fontId="8" fillId="38" borderId="28" xfId="0" applyFont="1" applyFill="1" applyBorder="1" applyAlignment="1">
      <alignment vertical="top" wrapText="1"/>
    </xf>
    <xf numFmtId="49" fontId="8" fillId="38" borderId="13" xfId="0" applyNumberFormat="1" applyFont="1" applyFill="1" applyBorder="1" applyAlignment="1">
      <alignment horizontal="center" vertical="center" wrapText="1"/>
    </xf>
    <xf numFmtId="2" fontId="8" fillId="38" borderId="13" xfId="0" applyNumberFormat="1" applyFont="1" applyFill="1" applyBorder="1" applyAlignment="1">
      <alignment horizontal="center" vertical="center" wrapText="1"/>
    </xf>
    <xf numFmtId="171" fontId="8" fillId="38" borderId="13" xfId="63" applyFont="1" applyFill="1" applyBorder="1" applyAlignment="1">
      <alignment horizontal="center" vertical="center" wrapText="1"/>
    </xf>
    <xf numFmtId="4" fontId="8" fillId="38" borderId="13" xfId="0" applyNumberFormat="1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/>
    </xf>
    <xf numFmtId="171" fontId="0" fillId="0" borderId="13" xfId="63" applyFont="1" applyBorder="1" applyAlignment="1">
      <alignment horizontal="center" vertical="center"/>
    </xf>
    <xf numFmtId="171" fontId="0" fillId="19" borderId="13" xfId="63" applyFont="1" applyFill="1" applyBorder="1" applyAlignment="1">
      <alignment horizontal="center" vertical="center"/>
    </xf>
    <xf numFmtId="171" fontId="0" fillId="10" borderId="13" xfId="63" applyFont="1" applyFill="1" applyBorder="1" applyAlignment="1">
      <alignment horizontal="center" vertical="center"/>
    </xf>
    <xf numFmtId="171" fontId="8" fillId="0" borderId="13" xfId="63" applyFont="1" applyFill="1" applyBorder="1" applyAlignment="1">
      <alignment horizontal="center" vertical="center"/>
    </xf>
    <xf numFmtId="4" fontId="6" fillId="37" borderId="13" xfId="0" applyNumberFormat="1" applyFont="1" applyFill="1" applyBorder="1" applyAlignment="1">
      <alignment horizontal="right" vertical="center" wrapText="1"/>
    </xf>
    <xf numFmtId="171" fontId="0" fillId="12" borderId="13" xfId="63" applyFont="1" applyFill="1" applyBorder="1" applyAlignment="1">
      <alignment horizontal="center" vertical="center"/>
    </xf>
    <xf numFmtId="171" fontId="0" fillId="3" borderId="0" xfId="63" applyFont="1" applyFill="1" applyAlignment="1">
      <alignment horizontal="right" vertical="center" wrapText="1"/>
    </xf>
    <xf numFmtId="171" fontId="0" fillId="3" borderId="0" xfId="0" applyNumberFormat="1" applyFont="1" applyFill="1" applyAlignment="1">
      <alignment horizontal="right"/>
    </xf>
    <xf numFmtId="171" fontId="0" fillId="3" borderId="13" xfId="63" applyFont="1" applyFill="1" applyBorder="1" applyAlignment="1">
      <alignment horizontal="center" vertical="center"/>
    </xf>
    <xf numFmtId="171" fontId="0" fillId="9" borderId="13" xfId="63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center" wrapText="1"/>
      <protection/>
    </xf>
    <xf numFmtId="171" fontId="0" fillId="35" borderId="13" xfId="63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8" fillId="34" borderId="13" xfId="53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vertical="top" wrapText="1"/>
    </xf>
    <xf numFmtId="0" fontId="8" fillId="0" borderId="13" xfId="53" applyFont="1" applyBorder="1" applyAlignment="1">
      <alignment vertical="top" wrapText="1"/>
      <protection/>
    </xf>
    <xf numFmtId="0" fontId="8" fillId="35" borderId="13" xfId="0" applyFont="1" applyFill="1" applyBorder="1" applyAlignment="1">
      <alignment vertical="top" wrapText="1"/>
    </xf>
    <xf numFmtId="4" fontId="6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wrapText="1"/>
    </xf>
    <xf numFmtId="2" fontId="8" fillId="0" borderId="13" xfId="0" applyNumberFormat="1" applyFont="1" applyBorder="1" applyAlignment="1">
      <alignment wrapText="1"/>
    </xf>
    <xf numFmtId="4" fontId="8" fillId="0" borderId="13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49" fontId="6" fillId="37" borderId="13" xfId="0" applyNumberFormat="1" applyFont="1" applyFill="1" applyBorder="1" applyAlignment="1">
      <alignment horizontal="left" vertical="center" wrapText="1"/>
    </xf>
    <xf numFmtId="49" fontId="6" fillId="37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" fontId="8" fillId="35" borderId="13" xfId="0" applyNumberFormat="1" applyFont="1" applyFill="1" applyBorder="1" applyAlignment="1">
      <alignment horizontal="center" vertical="center"/>
    </xf>
    <xf numFmtId="0" fontId="6" fillId="33" borderId="13" xfId="54" applyFont="1" applyFill="1" applyBorder="1" applyAlignment="1">
      <alignment vertical="top" wrapText="1"/>
      <protection/>
    </xf>
    <xf numFmtId="4" fontId="8" fillId="35" borderId="13" xfId="0" applyNumberFormat="1" applyFont="1" applyFill="1" applyBorder="1" applyAlignment="1">
      <alignment horizontal="right" vertical="center"/>
    </xf>
    <xf numFmtId="4" fontId="8" fillId="0" borderId="13" xfId="54" applyNumberFormat="1" applyFont="1" applyFill="1" applyBorder="1" applyAlignment="1">
      <alignment horizontal="right" vertical="center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left" vertical="center" wrapText="1"/>
    </xf>
    <xf numFmtId="49" fontId="21" fillId="33" borderId="13" xfId="0" applyNumberFormat="1" applyFont="1" applyFill="1" applyBorder="1" applyAlignment="1">
      <alignment horizontal="left" vertical="center" wrapText="1"/>
    </xf>
    <xf numFmtId="11" fontId="6" fillId="33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center" wrapText="1"/>
    </xf>
    <xf numFmtId="171" fontId="8" fillId="35" borderId="13" xfId="63" applyFont="1" applyFill="1" applyBorder="1" applyAlignment="1">
      <alignment horizontal="center" vertical="center" wrapText="1"/>
    </xf>
    <xf numFmtId="0" fontId="8" fillId="35" borderId="13" xfId="54" applyFont="1" applyFill="1" applyBorder="1" applyAlignment="1">
      <alignment horizontal="center" vertical="center" wrapText="1"/>
      <protection/>
    </xf>
    <xf numFmtId="49" fontId="8" fillId="35" borderId="13" xfId="54" applyNumberFormat="1" applyFont="1" applyFill="1" applyBorder="1" applyAlignment="1">
      <alignment horizontal="center" vertical="center" wrapText="1"/>
      <protection/>
    </xf>
    <xf numFmtId="0" fontId="8" fillId="35" borderId="13" xfId="53" applyFont="1" applyFill="1" applyBorder="1" applyAlignment="1">
      <alignment vertical="top" wrapText="1"/>
      <protection/>
    </xf>
    <xf numFmtId="0" fontId="8" fillId="35" borderId="13" xfId="0" applyNumberFormat="1" applyFont="1" applyFill="1" applyBorder="1" applyAlignment="1">
      <alignment horizontal="left" vertical="center" wrapText="1"/>
    </xf>
    <xf numFmtId="4" fontId="8" fillId="35" borderId="13" xfId="54" applyNumberFormat="1" applyFont="1" applyFill="1" applyBorder="1" applyAlignment="1">
      <alignment horizontal="center" vertical="center" wrapText="1"/>
      <protection/>
    </xf>
    <xf numFmtId="4" fontId="6" fillId="33" borderId="13" xfId="54" applyNumberFormat="1" applyFont="1" applyFill="1" applyBorder="1" applyAlignment="1">
      <alignment horizontal="center" vertical="top" wrapText="1"/>
      <protection/>
    </xf>
    <xf numFmtId="4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171" fontId="8" fillId="35" borderId="13" xfId="63" applyFont="1" applyFill="1" applyBorder="1" applyAlignment="1">
      <alignment horizontal="center" vertical="center"/>
    </xf>
    <xf numFmtId="2" fontId="6" fillId="35" borderId="13" xfId="0" applyNumberFormat="1" applyFont="1" applyFill="1" applyBorder="1" applyAlignment="1">
      <alignment horizontal="right" vertical="center" wrapText="1"/>
    </xf>
    <xf numFmtId="2" fontId="8" fillId="35" borderId="13" xfId="63" applyNumberFormat="1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top" wrapText="1"/>
      <protection/>
    </xf>
    <xf numFmtId="4" fontId="11" fillId="33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Fill="1" applyBorder="1" applyAlignment="1">
      <alignment vertical="center" wrapText="1"/>
    </xf>
    <xf numFmtId="171" fontId="0" fillId="35" borderId="13" xfId="0" applyNumberFormat="1" applyFont="1" applyFill="1" applyBorder="1" applyAlignment="1">
      <alignment horizontal="center"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0" fontId="8" fillId="0" borderId="13" xfId="53" applyFont="1" applyFill="1" applyBorder="1" applyAlignment="1">
      <alignment vertical="top" wrapText="1"/>
      <protection/>
    </xf>
    <xf numFmtId="0" fontId="8" fillId="35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35" borderId="13" xfId="0" applyFont="1" applyFill="1" applyBorder="1" applyAlignment="1">
      <alignment/>
    </xf>
    <xf numFmtId="171" fontId="10" fillId="0" borderId="0" xfId="63" applyFont="1" applyAlignment="1">
      <alignment/>
    </xf>
    <xf numFmtId="0" fontId="8" fillId="0" borderId="28" xfId="0" applyFont="1" applyBorder="1" applyAlignment="1">
      <alignment wrapText="1"/>
    </xf>
    <xf numFmtId="2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wrapText="1"/>
    </xf>
    <xf numFmtId="4" fontId="8" fillId="35" borderId="13" xfId="0" applyNumberFormat="1" applyFont="1" applyFill="1" applyBorder="1" applyAlignment="1">
      <alignment wrapText="1"/>
    </xf>
    <xf numFmtId="2" fontId="6" fillId="35" borderId="13" xfId="0" applyNumberFormat="1" applyFont="1" applyFill="1" applyBorder="1" applyAlignment="1">
      <alignment horizontal="center" vertical="center" wrapText="1"/>
    </xf>
    <xf numFmtId="171" fontId="6" fillId="34" borderId="13" xfId="63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22" xfId="53" applyFont="1" applyFill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wrapText="1"/>
      <protection/>
    </xf>
    <xf numFmtId="4" fontId="8" fillId="34" borderId="13" xfId="53" applyNumberFormat="1" applyFont="1" applyFill="1" applyBorder="1" applyAlignment="1">
      <alignment horizontal="center" wrapText="1"/>
      <protection/>
    </xf>
    <xf numFmtId="4" fontId="8" fillId="19" borderId="13" xfId="53" applyNumberFormat="1" applyFont="1" applyFill="1" applyBorder="1" applyAlignment="1">
      <alignment horizontal="center" wrapText="1"/>
      <protection/>
    </xf>
    <xf numFmtId="4" fontId="8" fillId="7" borderId="13" xfId="53" applyNumberFormat="1" applyFont="1" applyFill="1" applyBorder="1" applyAlignment="1">
      <alignment horizontal="center" wrapText="1"/>
      <protection/>
    </xf>
    <xf numFmtId="0" fontId="8" fillId="7" borderId="13" xfId="0" applyFont="1" applyFill="1" applyBorder="1" applyAlignment="1">
      <alignment wrapText="1"/>
    </xf>
    <xf numFmtId="4" fontId="8" fillId="7" borderId="13" xfId="53" applyNumberFormat="1" applyFont="1" applyFill="1" applyBorder="1" applyAlignment="1">
      <alignment horizontal="center" vertical="top" wrapText="1"/>
      <protection/>
    </xf>
    <xf numFmtId="4" fontId="8" fillId="34" borderId="13" xfId="53" applyNumberFormat="1" applyFont="1" applyFill="1" applyBorder="1" applyAlignment="1">
      <alignment horizontal="center" vertical="top" wrapText="1"/>
      <protection/>
    </xf>
    <xf numFmtId="0" fontId="8" fillId="19" borderId="13" xfId="0" applyFont="1" applyFill="1" applyBorder="1" applyAlignment="1">
      <alignment wrapText="1"/>
    </xf>
    <xf numFmtId="4" fontId="8" fillId="19" borderId="13" xfId="53" applyNumberFormat="1" applyFont="1" applyFill="1" applyBorder="1" applyAlignment="1">
      <alignment horizontal="center" vertical="top" wrapText="1"/>
      <protection/>
    </xf>
    <xf numFmtId="0" fontId="8" fillId="13" borderId="13" xfId="53" applyFont="1" applyFill="1" applyBorder="1" applyAlignment="1">
      <alignment wrapText="1"/>
      <protection/>
    </xf>
    <xf numFmtId="4" fontId="8" fillId="13" borderId="13" xfId="53" applyNumberFormat="1" applyFont="1" applyFill="1" applyBorder="1" applyAlignment="1">
      <alignment horizontal="center" vertical="top" wrapText="1"/>
      <protection/>
    </xf>
    <xf numFmtId="0" fontId="6" fillId="34" borderId="13" xfId="53" applyFont="1" applyFill="1" applyBorder="1" applyAlignment="1">
      <alignment wrapText="1"/>
      <protection/>
    </xf>
    <xf numFmtId="0" fontId="8" fillId="7" borderId="13" xfId="53" applyFont="1" applyFill="1" applyBorder="1" applyAlignment="1">
      <alignment vertical="top" wrapText="1"/>
      <protection/>
    </xf>
    <xf numFmtId="4" fontId="8" fillId="0" borderId="13" xfId="53" applyNumberFormat="1" applyFont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wrapText="1"/>
      <protection/>
    </xf>
    <xf numFmtId="4" fontId="8" fillId="7" borderId="13" xfId="53" applyNumberFormat="1" applyFont="1" applyFill="1" applyBorder="1" applyAlignment="1">
      <alignment horizontal="center"/>
      <protection/>
    </xf>
    <xf numFmtId="0" fontId="8" fillId="19" borderId="13" xfId="53" applyFont="1" applyFill="1" applyBorder="1" applyAlignment="1">
      <alignment wrapText="1"/>
      <protection/>
    </xf>
    <xf numFmtId="0" fontId="6" fillId="34" borderId="13" xfId="53" applyFont="1" applyFill="1" applyBorder="1" applyAlignment="1">
      <alignment vertical="center" wrapText="1"/>
      <protection/>
    </xf>
    <xf numFmtId="0" fontId="8" fillId="7" borderId="13" xfId="0" applyFont="1" applyFill="1" applyBorder="1" applyAlignment="1">
      <alignment vertical="top" wrapText="1"/>
    </xf>
    <xf numFmtId="0" fontId="8" fillId="39" borderId="13" xfId="53" applyFont="1" applyFill="1" applyBorder="1" applyAlignment="1">
      <alignment wrapText="1"/>
      <protection/>
    </xf>
    <xf numFmtId="4" fontId="8" fillId="39" borderId="13" xfId="53" applyNumberFormat="1" applyFont="1" applyFill="1" applyBorder="1" applyAlignment="1">
      <alignment horizontal="center" vertical="top" wrapText="1"/>
      <protection/>
    </xf>
    <xf numFmtId="0" fontId="12" fillId="7" borderId="13" xfId="53" applyFont="1" applyFill="1" applyBorder="1" applyAlignment="1">
      <alignment wrapText="1"/>
      <protection/>
    </xf>
    <xf numFmtId="0" fontId="8" fillId="0" borderId="13" xfId="53" applyFont="1" applyBorder="1" applyAlignment="1">
      <alignment horizontal="left" vertical="top" wrapText="1"/>
      <protection/>
    </xf>
    <xf numFmtId="4" fontId="6" fillId="34" borderId="13" xfId="53" applyNumberFormat="1" applyFont="1" applyFill="1" applyBorder="1" applyAlignment="1">
      <alignment horizontal="center" vertical="top" wrapText="1"/>
      <protection/>
    </xf>
    <xf numFmtId="4" fontId="8" fillId="35" borderId="13" xfId="53" applyNumberFormat="1" applyFont="1" applyFill="1" applyBorder="1" applyAlignment="1">
      <alignment horizontal="center" vertical="top" wrapText="1"/>
      <protection/>
    </xf>
    <xf numFmtId="0" fontId="8" fillId="35" borderId="13" xfId="53" applyFont="1" applyFill="1" applyBorder="1" applyAlignment="1">
      <alignment wrapText="1"/>
      <protection/>
    </xf>
    <xf numFmtId="4" fontId="8" fillId="19" borderId="13" xfId="53" applyNumberFormat="1" applyFont="1" applyFill="1" applyBorder="1" applyAlignment="1">
      <alignment horizontal="center"/>
      <protection/>
    </xf>
    <xf numFmtId="0" fontId="8" fillId="0" borderId="13" xfId="53" applyFont="1" applyFill="1" applyBorder="1" applyAlignment="1">
      <alignment wrapText="1"/>
      <protection/>
    </xf>
    <xf numFmtId="0" fontId="8" fillId="0" borderId="13" xfId="53" applyFont="1" applyFill="1" applyBorder="1" applyAlignment="1">
      <alignment horizontal="left" vertical="top" wrapText="1"/>
      <protection/>
    </xf>
    <xf numFmtId="0" fontId="6" fillId="34" borderId="13" xfId="53" applyNumberFormat="1" applyFont="1" applyFill="1" applyBorder="1" applyAlignment="1">
      <alignment vertical="center" wrapText="1"/>
      <protection/>
    </xf>
    <xf numFmtId="0" fontId="8" fillId="35" borderId="13" xfId="53" applyNumberFormat="1" applyFont="1" applyFill="1" applyBorder="1" applyAlignment="1">
      <alignment vertical="top" wrapText="1"/>
      <protection/>
    </xf>
    <xf numFmtId="0" fontId="8" fillId="7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 vertical="top" wrapText="1"/>
      <protection/>
    </xf>
    <xf numFmtId="0" fontId="8" fillId="7" borderId="13" xfId="53" applyFont="1" applyFill="1" applyBorder="1" applyAlignment="1">
      <alignment horizontal="left" vertical="top" wrapText="1"/>
      <protection/>
    </xf>
    <xf numFmtId="0" fontId="8" fillId="19" borderId="13" xfId="53" applyFont="1" applyFill="1" applyBorder="1" applyAlignment="1">
      <alignment horizontal="left" wrapText="1"/>
      <protection/>
    </xf>
    <xf numFmtId="0" fontId="8" fillId="35" borderId="13" xfId="53" applyFont="1" applyFill="1" applyBorder="1" applyAlignment="1">
      <alignment horizontal="left" wrapText="1"/>
      <protection/>
    </xf>
    <xf numFmtId="0" fontId="8" fillId="0" borderId="29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5" fillId="0" borderId="0" xfId="53" applyFont="1">
      <alignment/>
      <protection/>
    </xf>
    <xf numFmtId="0" fontId="1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0" fontId="8" fillId="40" borderId="13" xfId="53" applyNumberFormat="1" applyFont="1" applyFill="1" applyBorder="1" applyAlignment="1">
      <alignment vertical="top" wrapText="1"/>
      <protection/>
    </xf>
    <xf numFmtId="0" fontId="8" fillId="40" borderId="13" xfId="53" applyNumberFormat="1" applyFont="1" applyFill="1" applyBorder="1" applyAlignment="1">
      <alignment vertical="center" wrapText="1"/>
      <protection/>
    </xf>
    <xf numFmtId="4" fontId="8" fillId="40" borderId="13" xfId="53" applyNumberFormat="1" applyFont="1" applyFill="1" applyBorder="1" applyAlignment="1">
      <alignment horizontal="center" vertical="top" wrapText="1"/>
      <protection/>
    </xf>
    <xf numFmtId="0" fontId="8" fillId="41" borderId="13" xfId="53" applyNumberFormat="1" applyFont="1" applyFill="1" applyBorder="1" applyAlignment="1">
      <alignment vertical="top" wrapText="1"/>
      <protection/>
    </xf>
    <xf numFmtId="0" fontId="8" fillId="41" borderId="13" xfId="53" applyNumberFormat="1" applyFont="1" applyFill="1" applyBorder="1" applyAlignment="1">
      <alignment vertical="center" wrapText="1"/>
      <protection/>
    </xf>
    <xf numFmtId="4" fontId="8" fillId="41" borderId="13" xfId="53" applyNumberFormat="1" applyFont="1" applyFill="1" applyBorder="1" applyAlignment="1">
      <alignment horizontal="center" vertical="top" wrapText="1"/>
      <protection/>
    </xf>
    <xf numFmtId="0" fontId="10" fillId="0" borderId="13" xfId="53" applyFont="1" applyBorder="1">
      <alignment/>
      <protection/>
    </xf>
    <xf numFmtId="4" fontId="10" fillId="0" borderId="0" xfId="53" applyNumberFormat="1" applyFont="1">
      <alignment/>
      <protection/>
    </xf>
    <xf numFmtId="171" fontId="10" fillId="0" borderId="0" xfId="53" applyNumberFormat="1" applyFont="1">
      <alignment/>
      <protection/>
    </xf>
    <xf numFmtId="171" fontId="10" fillId="0" borderId="29" xfId="63" applyFont="1" applyBorder="1" applyAlignment="1">
      <alignment horizontal="center" vertical="center"/>
    </xf>
    <xf numFmtId="4" fontId="8" fillId="0" borderId="29" xfId="53" applyNumberFormat="1" applyFont="1" applyFill="1" applyBorder="1" applyAlignment="1">
      <alignment horizontal="center" vertical="top" wrapText="1"/>
      <protection/>
    </xf>
    <xf numFmtId="0" fontId="10" fillId="0" borderId="30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wrapText="1"/>
      <protection/>
    </xf>
    <xf numFmtId="0" fontId="10" fillId="0" borderId="30" xfId="53" applyFont="1" applyBorder="1" applyAlignment="1">
      <alignment horizontal="center" wrapText="1"/>
      <protection/>
    </xf>
    <xf numFmtId="0" fontId="8" fillId="7" borderId="28" xfId="53" applyFont="1" applyFill="1" applyBorder="1" applyAlignment="1">
      <alignment horizontal="center" wrapText="1"/>
      <protection/>
    </xf>
    <xf numFmtId="4" fontId="8" fillId="7" borderId="30" xfId="53" applyNumberFormat="1" applyFont="1" applyFill="1" applyBorder="1" applyAlignment="1">
      <alignment horizontal="center" wrapText="1"/>
      <protection/>
    </xf>
    <xf numFmtId="0" fontId="8" fillId="0" borderId="28" xfId="0" applyFont="1" applyBorder="1" applyAlignment="1">
      <alignment horizontal="center" vertical="top" wrapText="1"/>
    </xf>
    <xf numFmtId="4" fontId="8" fillId="0" borderId="30" xfId="53" applyNumberFormat="1" applyFont="1" applyFill="1" applyBorder="1" applyAlignment="1">
      <alignment horizontal="center" vertical="top" wrapText="1"/>
      <protection/>
    </xf>
    <xf numFmtId="0" fontId="8" fillId="7" borderId="28" xfId="0" applyFont="1" applyFill="1" applyBorder="1" applyAlignment="1">
      <alignment horizontal="center" vertical="top" wrapText="1"/>
    </xf>
    <xf numFmtId="4" fontId="8" fillId="7" borderId="30" xfId="53" applyNumberFormat="1" applyFont="1" applyFill="1" applyBorder="1" applyAlignment="1">
      <alignment horizontal="center" vertical="top" wrapText="1"/>
      <protection/>
    </xf>
    <xf numFmtId="0" fontId="8" fillId="34" borderId="28" xfId="0" applyFont="1" applyFill="1" applyBorder="1" applyAlignment="1">
      <alignment horizontal="center" vertical="top" wrapText="1"/>
    </xf>
    <xf numFmtId="4" fontId="8" fillId="34" borderId="30" xfId="53" applyNumberFormat="1" applyFont="1" applyFill="1" applyBorder="1" applyAlignment="1">
      <alignment horizontal="center" vertical="top" wrapText="1"/>
      <protection/>
    </xf>
    <xf numFmtId="0" fontId="8" fillId="19" borderId="28" xfId="0" applyFont="1" applyFill="1" applyBorder="1" applyAlignment="1">
      <alignment horizontal="center" vertical="top" wrapText="1"/>
    </xf>
    <xf numFmtId="4" fontId="8" fillId="19" borderId="30" xfId="53" applyNumberFormat="1" applyFont="1" applyFill="1" applyBorder="1" applyAlignment="1">
      <alignment horizontal="center" vertical="top" wrapText="1"/>
      <protection/>
    </xf>
    <xf numFmtId="0" fontId="8" fillId="13" borderId="28" xfId="53" applyFont="1" applyFill="1" applyBorder="1" applyAlignment="1">
      <alignment horizontal="center" vertical="center" wrapText="1"/>
      <protection/>
    </xf>
    <xf numFmtId="4" fontId="8" fillId="13" borderId="30" xfId="53" applyNumberFormat="1" applyFont="1" applyFill="1" applyBorder="1" applyAlignment="1">
      <alignment horizontal="center" vertical="top" wrapText="1"/>
      <protection/>
    </xf>
    <xf numFmtId="0" fontId="8" fillId="0" borderId="28" xfId="53" applyFont="1" applyBorder="1" applyAlignment="1">
      <alignment horizontal="center" vertical="center" wrapText="1"/>
      <protection/>
    </xf>
    <xf numFmtId="0" fontId="8" fillId="13" borderId="28" xfId="0" applyFont="1" applyFill="1" applyBorder="1" applyAlignment="1">
      <alignment horizontal="center" vertical="center" wrapText="1"/>
    </xf>
    <xf numFmtId="0" fontId="6" fillId="34" borderId="28" xfId="53" applyFont="1" applyFill="1" applyBorder="1" applyAlignment="1">
      <alignment horizontal="center" vertical="center" wrapText="1"/>
      <protection/>
    </xf>
    <xf numFmtId="4" fontId="8" fillId="35" borderId="30" xfId="53" applyNumberFormat="1" applyFont="1" applyFill="1" applyBorder="1" applyAlignment="1">
      <alignment horizontal="center" vertical="top" wrapText="1"/>
      <protection/>
    </xf>
    <xf numFmtId="49" fontId="8" fillId="7" borderId="28" xfId="53" applyNumberFormat="1" applyFont="1" applyFill="1" applyBorder="1" applyAlignment="1">
      <alignment horizontal="center" vertical="center" wrapText="1"/>
      <protection/>
    </xf>
    <xf numFmtId="49" fontId="8" fillId="0" borderId="28" xfId="53" applyNumberFormat="1" applyFont="1" applyFill="1" applyBorder="1" applyAlignment="1">
      <alignment horizontal="center" vertical="center" wrapText="1"/>
      <protection/>
    </xf>
    <xf numFmtId="0" fontId="8" fillId="7" borderId="28" xfId="53" applyFont="1" applyFill="1" applyBorder="1" applyAlignment="1">
      <alignment horizontal="center" vertical="center" wrapText="1"/>
      <protection/>
    </xf>
    <xf numFmtId="4" fontId="8" fillId="0" borderId="30" xfId="53" applyNumberFormat="1" applyFont="1" applyBorder="1" applyAlignment="1">
      <alignment horizontal="center" vertical="top" wrapText="1"/>
      <protection/>
    </xf>
    <xf numFmtId="0" fontId="8" fillId="7" borderId="28" xfId="53" applyFont="1" applyFill="1" applyBorder="1" applyAlignment="1">
      <alignment horizontal="center"/>
      <protection/>
    </xf>
    <xf numFmtId="4" fontId="8" fillId="7" borderId="30" xfId="53" applyNumberFormat="1" applyFont="1" applyFill="1" applyBorder="1" applyAlignment="1">
      <alignment horizontal="center"/>
      <protection/>
    </xf>
    <xf numFmtId="0" fontId="8" fillId="34" borderId="28" xfId="53" applyFont="1" applyFill="1" applyBorder="1" applyAlignment="1">
      <alignment horizontal="center" vertical="center" wrapText="1"/>
      <protection/>
    </xf>
    <xf numFmtId="0" fontId="8" fillId="19" borderId="28" xfId="53" applyFont="1" applyFill="1" applyBorder="1" applyAlignment="1">
      <alignment horizontal="center" vertical="center" wrapText="1"/>
      <protection/>
    </xf>
    <xf numFmtId="0" fontId="8" fillId="7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39" borderId="28" xfId="53" applyFont="1" applyFill="1" applyBorder="1" applyAlignment="1">
      <alignment horizontal="center" vertical="center" wrapText="1"/>
      <protection/>
    </xf>
    <xf numFmtId="4" fontId="8" fillId="39" borderId="30" xfId="53" applyNumberFormat="1" applyFont="1" applyFill="1" applyBorder="1" applyAlignment="1">
      <alignment horizontal="center" vertical="top" wrapText="1"/>
      <protection/>
    </xf>
    <xf numFmtId="49" fontId="8" fillId="0" borderId="28" xfId="0" applyNumberFormat="1" applyFont="1" applyBorder="1" applyAlignment="1">
      <alignment horizontal="center" vertical="center"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35" borderId="28" xfId="53" applyFont="1" applyFill="1" applyBorder="1" applyAlignment="1">
      <alignment horizontal="center" vertical="center" wrapText="1"/>
      <protection/>
    </xf>
    <xf numFmtId="0" fontId="8" fillId="19" borderId="28" xfId="53" applyFont="1" applyFill="1" applyBorder="1" applyAlignment="1">
      <alignment horizontal="center"/>
      <protection/>
    </xf>
    <xf numFmtId="4" fontId="8" fillId="19" borderId="30" xfId="53" applyNumberFormat="1" applyFont="1" applyFill="1" applyBorder="1" applyAlignment="1">
      <alignment horizontal="center"/>
      <protection/>
    </xf>
    <xf numFmtId="0" fontId="8" fillId="40" borderId="28" xfId="53" applyFont="1" applyFill="1" applyBorder="1" applyAlignment="1">
      <alignment horizontal="center" vertical="center" wrapText="1"/>
      <protection/>
    </xf>
    <xf numFmtId="4" fontId="8" fillId="40" borderId="30" xfId="53" applyNumberFormat="1" applyFont="1" applyFill="1" applyBorder="1" applyAlignment="1">
      <alignment horizontal="center" vertical="top" wrapText="1"/>
      <protection/>
    </xf>
    <xf numFmtId="0" fontId="8" fillId="41" borderId="28" xfId="53" applyFont="1" applyFill="1" applyBorder="1" applyAlignment="1">
      <alignment horizontal="center" vertical="center" wrapText="1"/>
      <protection/>
    </xf>
    <xf numFmtId="4" fontId="8" fillId="41" borderId="30" xfId="53" applyNumberFormat="1" applyFont="1" applyFill="1" applyBorder="1" applyAlignment="1">
      <alignment horizontal="center" vertical="top" wrapText="1"/>
      <protection/>
    </xf>
    <xf numFmtId="0" fontId="6" fillId="35" borderId="31" xfId="53" applyFont="1" applyFill="1" applyBorder="1" applyAlignment="1">
      <alignment horizontal="center" vertical="center" wrapText="1"/>
      <protection/>
    </xf>
    <xf numFmtId="171" fontId="24" fillId="0" borderId="0" xfId="63" applyNumberFormat="1" applyFont="1" applyAlignment="1">
      <alignment/>
    </xf>
    <xf numFmtId="0" fontId="24" fillId="0" borderId="0" xfId="0" applyFont="1" applyAlignment="1">
      <alignment/>
    </xf>
    <xf numFmtId="2" fontId="25" fillId="0" borderId="13" xfId="0" applyNumberFormat="1" applyFont="1" applyBorder="1" applyAlignment="1">
      <alignment horizontal="centerContinuous" vertical="center" wrapText="1"/>
    </xf>
    <xf numFmtId="0" fontId="21" fillId="0" borderId="13" xfId="0" applyFont="1" applyBorder="1" applyAlignment="1">
      <alignment horizontal="center" vertical="top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 wrapText="1"/>
    </xf>
    <xf numFmtId="4" fontId="21" fillId="34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Continuous" vertical="center" wrapText="1"/>
    </xf>
    <xf numFmtId="4" fontId="24" fillId="0" borderId="0" xfId="0" applyNumberFormat="1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1" fillId="0" borderId="13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/>
    </xf>
    <xf numFmtId="4" fontId="11" fillId="37" borderId="13" xfId="0" applyNumberFormat="1" applyFont="1" applyFill="1" applyBorder="1" applyAlignment="1">
      <alignment horizontal="right" vertical="center" wrapText="1"/>
    </xf>
    <xf numFmtId="4" fontId="11" fillId="33" borderId="13" xfId="0" applyNumberFormat="1" applyFont="1" applyFill="1" applyBorder="1" applyAlignment="1">
      <alignment horizontal="right" vertical="center" wrapText="1"/>
    </xf>
    <xf numFmtId="4" fontId="21" fillId="35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center" vertical="center"/>
    </xf>
    <xf numFmtId="4" fontId="21" fillId="35" borderId="13" xfId="0" applyNumberFormat="1" applyFont="1" applyFill="1" applyBorder="1" applyAlignment="1">
      <alignment vertical="center"/>
    </xf>
    <xf numFmtId="171" fontId="24" fillId="35" borderId="13" xfId="63" applyFont="1" applyFill="1" applyBorder="1" applyAlignment="1">
      <alignment horizontal="center" vertical="center"/>
    </xf>
    <xf numFmtId="171" fontId="21" fillId="35" borderId="13" xfId="63" applyFont="1" applyFill="1" applyBorder="1" applyAlignment="1">
      <alignment horizontal="center" vertical="center" wrapText="1"/>
    </xf>
    <xf numFmtId="4" fontId="11" fillId="33" borderId="13" xfId="54" applyNumberFormat="1" applyFont="1" applyFill="1" applyBorder="1" applyAlignment="1">
      <alignment horizontal="center" vertical="top" wrapText="1"/>
      <protection/>
    </xf>
    <xf numFmtId="4" fontId="21" fillId="35" borderId="13" xfId="54" applyNumberFormat="1" applyFont="1" applyFill="1" applyBorder="1" applyAlignment="1">
      <alignment horizontal="center" vertical="center" wrapText="1"/>
      <protection/>
    </xf>
    <xf numFmtId="4" fontId="21" fillId="0" borderId="13" xfId="54" applyNumberFormat="1" applyFont="1" applyFill="1" applyBorder="1" applyAlignment="1">
      <alignment horizontal="center" vertical="center" wrapText="1"/>
      <protection/>
    </xf>
    <xf numFmtId="171" fontId="21" fillId="0" borderId="13" xfId="63" applyFont="1" applyFill="1" applyBorder="1" applyAlignment="1">
      <alignment horizontal="center" vertical="center"/>
    </xf>
    <xf numFmtId="171" fontId="21" fillId="35" borderId="13" xfId="63" applyFont="1" applyFill="1" applyBorder="1" applyAlignment="1">
      <alignment horizontal="center" vertical="center"/>
    </xf>
    <xf numFmtId="2" fontId="21" fillId="35" borderId="13" xfId="63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vertical="center"/>
    </xf>
    <xf numFmtId="4" fontId="11" fillId="37" borderId="13" xfId="0" applyNumberFormat="1" applyFont="1" applyFill="1" applyBorder="1" applyAlignment="1">
      <alignment horizontal="center" vertical="center" wrapText="1"/>
    </xf>
    <xf numFmtId="171" fontId="11" fillId="34" borderId="13" xfId="63" applyFont="1" applyFill="1" applyBorder="1" applyAlignment="1">
      <alignment horizontal="right" vertical="center" wrapText="1"/>
    </xf>
    <xf numFmtId="171" fontId="21" fillId="0" borderId="13" xfId="63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171" fontId="24" fillId="35" borderId="13" xfId="0" applyNumberFormat="1" applyFont="1" applyFill="1" applyBorder="1" applyAlignment="1">
      <alignment horizontal="center" vertical="center"/>
    </xf>
    <xf numFmtId="171" fontId="8" fillId="0" borderId="29" xfId="63" applyFont="1" applyBorder="1" applyAlignment="1">
      <alignment horizontal="center" vertical="top" wrapText="1"/>
    </xf>
    <xf numFmtId="171" fontId="8" fillId="0" borderId="13" xfId="63" applyFont="1" applyBorder="1" applyAlignment="1">
      <alignment horizontal="center" vertical="top" wrapText="1"/>
    </xf>
    <xf numFmtId="171" fontId="10" fillId="0" borderId="13" xfId="63" applyFont="1" applyBorder="1" applyAlignment="1">
      <alignment/>
    </xf>
    <xf numFmtId="4" fontId="0" fillId="0" borderId="0" xfId="0" applyNumberFormat="1" applyFont="1" applyBorder="1" applyAlignment="1">
      <alignment/>
    </xf>
    <xf numFmtId="171" fontId="12" fillId="0" borderId="0" xfId="63" applyFont="1" applyAlignment="1">
      <alignment/>
    </xf>
    <xf numFmtId="171" fontId="7" fillId="0" borderId="13" xfId="63" applyFont="1" applyBorder="1" applyAlignment="1">
      <alignment horizontal="center" vertical="center" wrapText="1"/>
    </xf>
    <xf numFmtId="171" fontId="6" fillId="37" borderId="13" xfId="63" applyFont="1" applyFill="1" applyBorder="1" applyAlignment="1">
      <alignment horizontal="right" vertical="center" wrapText="1"/>
    </xf>
    <xf numFmtId="171" fontId="6" fillId="33" borderId="13" xfId="63" applyFont="1" applyFill="1" applyBorder="1" applyAlignment="1">
      <alignment vertical="center"/>
    </xf>
    <xf numFmtId="171" fontId="8" fillId="0" borderId="13" xfId="63" applyFont="1" applyFill="1" applyBorder="1" applyAlignment="1">
      <alignment vertical="center"/>
    </xf>
    <xf numFmtId="171" fontId="8" fillId="0" borderId="13" xfId="63" applyFont="1" applyFill="1" applyBorder="1" applyAlignment="1">
      <alignment horizontal="right" vertical="center" wrapText="1"/>
    </xf>
    <xf numFmtId="171" fontId="6" fillId="34" borderId="13" xfId="63" applyFont="1" applyFill="1" applyBorder="1" applyAlignment="1">
      <alignment horizontal="center" vertical="center" wrapText="1"/>
    </xf>
    <xf numFmtId="171" fontId="8" fillId="33" borderId="13" xfId="63" applyFont="1" applyFill="1" applyBorder="1" applyAlignment="1">
      <alignment horizontal="right" vertical="center" wrapText="1"/>
    </xf>
    <xf numFmtId="171" fontId="0" fillId="0" borderId="0" xfId="63" applyFont="1" applyAlignment="1">
      <alignment/>
    </xf>
    <xf numFmtId="171" fontId="6" fillId="19" borderId="13" xfId="63" applyFont="1" applyFill="1" applyBorder="1" applyAlignment="1">
      <alignment horizontal="center" vertical="center"/>
    </xf>
    <xf numFmtId="43" fontId="0" fillId="0" borderId="0" xfId="0" applyNumberFormat="1" applyFont="1" applyAlignment="1">
      <alignment/>
    </xf>
    <xf numFmtId="4" fontId="6" fillId="34" borderId="30" xfId="53" applyNumberFormat="1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wrapText="1"/>
      <protection/>
    </xf>
    <xf numFmtId="0" fontId="8" fillId="41" borderId="13" xfId="53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left" wrapText="1"/>
      <protection/>
    </xf>
    <xf numFmtId="0" fontId="8" fillId="0" borderId="13" xfId="53" applyNumberFormat="1" applyFont="1" applyFill="1" applyBorder="1" applyAlignment="1">
      <alignment vertical="top" wrapText="1"/>
      <protection/>
    </xf>
    <xf numFmtId="0" fontId="8" fillId="19" borderId="13" xfId="53" applyFont="1" applyFill="1" applyBorder="1" applyAlignment="1">
      <alignment vertical="top" wrapText="1"/>
      <protection/>
    </xf>
    <xf numFmtId="0" fontId="8" fillId="35" borderId="13" xfId="53" applyNumberFormat="1" applyFont="1" applyFill="1" applyBorder="1" applyAlignment="1">
      <alignment vertical="center" wrapText="1"/>
      <protection/>
    </xf>
    <xf numFmtId="171" fontId="6" fillId="33" borderId="13" xfId="63" applyFont="1" applyFill="1" applyBorder="1" applyAlignment="1">
      <alignment horizontal="right" vertical="top" wrapText="1"/>
    </xf>
    <xf numFmtId="49" fontId="11" fillId="33" borderId="13" xfId="0" applyNumberFormat="1" applyFont="1" applyFill="1" applyBorder="1" applyAlignment="1">
      <alignment horizontal="left" vertical="justify" wrapText="1"/>
    </xf>
    <xf numFmtId="43" fontId="0" fillId="35" borderId="0" xfId="0" applyNumberFormat="1" applyFont="1" applyFill="1" applyAlignment="1">
      <alignment/>
    </xf>
    <xf numFmtId="181" fontId="0" fillId="0" borderId="0" xfId="0" applyNumberFormat="1" applyFont="1" applyAlignment="1">
      <alignment horizontal="center" vertical="center"/>
    </xf>
    <xf numFmtId="0" fontId="10" fillId="0" borderId="0" xfId="53" applyFont="1" applyAlignment="1">
      <alignment horizontal="center" vertical="center" wrapText="1"/>
      <protection/>
    </xf>
    <xf numFmtId="0" fontId="8" fillId="35" borderId="14" xfId="53" applyFont="1" applyFill="1" applyBorder="1" applyAlignment="1">
      <alignment horizontal="center" vertical="center" wrapText="1"/>
      <protection/>
    </xf>
    <xf numFmtId="0" fontId="8" fillId="35" borderId="12" xfId="53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 vertical="center"/>
    </xf>
    <xf numFmtId="0" fontId="10" fillId="35" borderId="0" xfId="53" applyFont="1" applyFill="1">
      <alignment/>
      <protection/>
    </xf>
    <xf numFmtId="180" fontId="6" fillId="0" borderId="12" xfId="0" applyNumberFormat="1" applyFont="1" applyBorder="1" applyAlignment="1">
      <alignment horizontal="center"/>
    </xf>
    <xf numFmtId="4" fontId="8" fillId="38" borderId="32" xfId="0" applyNumberFormat="1" applyFont="1" applyFill="1" applyBorder="1" applyAlignment="1">
      <alignment horizontal="center" vertical="center" wrapText="1"/>
    </xf>
    <xf numFmtId="171" fontId="0" fillId="38" borderId="0" xfId="63" applyFont="1" applyFill="1" applyAlignment="1">
      <alignment horizontal="center" vertical="center"/>
    </xf>
    <xf numFmtId="171" fontId="10" fillId="0" borderId="0" xfId="63" applyFont="1" applyAlignment="1">
      <alignment horizontal="center" vertical="center"/>
    </xf>
    <xf numFmtId="171" fontId="10" fillId="35" borderId="0" xfId="63" applyFont="1" applyFill="1" applyAlignment="1">
      <alignment horizontal="center" vertical="center"/>
    </xf>
    <xf numFmtId="0" fontId="8" fillId="34" borderId="28" xfId="53" applyFont="1" applyFill="1" applyBorder="1" applyAlignment="1">
      <alignment horizontal="center" wrapText="1"/>
      <protection/>
    </xf>
    <xf numFmtId="0" fontId="6" fillId="34" borderId="13" xfId="53" applyFont="1" applyFill="1" applyBorder="1" applyAlignment="1">
      <alignment horizontal="center" wrapText="1"/>
      <protection/>
    </xf>
    <xf numFmtId="4" fontId="8" fillId="34" borderId="30" xfId="53" applyNumberFormat="1" applyFont="1" applyFill="1" applyBorder="1" applyAlignment="1">
      <alignment horizontal="center" wrapText="1"/>
      <protection/>
    </xf>
    <xf numFmtId="0" fontId="8" fillId="19" borderId="28" xfId="53" applyFont="1" applyFill="1" applyBorder="1" applyAlignment="1">
      <alignment horizontal="center" wrapText="1"/>
      <protection/>
    </xf>
    <xf numFmtId="0" fontId="6" fillId="19" borderId="13" xfId="53" applyFont="1" applyFill="1" applyBorder="1" applyAlignment="1">
      <alignment horizontal="center" wrapText="1"/>
      <protection/>
    </xf>
    <xf numFmtId="4" fontId="8" fillId="19" borderId="30" xfId="53" applyNumberFormat="1" applyFont="1" applyFill="1" applyBorder="1" applyAlignment="1">
      <alignment horizontal="center" wrapText="1"/>
      <protection/>
    </xf>
    <xf numFmtId="4" fontId="8" fillId="14" borderId="13" xfId="53" applyNumberFormat="1" applyFont="1" applyFill="1" applyBorder="1" applyAlignment="1">
      <alignment horizontal="center" vertical="top" wrapText="1"/>
      <protection/>
    </xf>
    <xf numFmtId="4" fontId="6" fillId="35" borderId="33" xfId="53" applyNumberFormat="1" applyFont="1" applyFill="1" applyBorder="1" applyAlignment="1">
      <alignment horizontal="center" vertical="top" wrapText="1"/>
      <protection/>
    </xf>
    <xf numFmtId="4" fontId="6" fillId="35" borderId="34" xfId="53" applyNumberFormat="1" applyFont="1" applyFill="1" applyBorder="1" applyAlignment="1">
      <alignment horizontal="center" vertical="top" wrapText="1"/>
      <protection/>
    </xf>
    <xf numFmtId="171" fontId="8" fillId="35" borderId="0" xfId="63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 wrapText="1"/>
    </xf>
    <xf numFmtId="171" fontId="0" fillId="35" borderId="0" xfId="63" applyFont="1" applyFill="1" applyAlignment="1">
      <alignment/>
    </xf>
    <xf numFmtId="171" fontId="0" fillId="0" borderId="0" xfId="63" applyFont="1" applyBorder="1" applyAlignment="1">
      <alignment/>
    </xf>
    <xf numFmtId="4" fontId="8" fillId="0" borderId="32" xfId="0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vertical="top" wrapText="1"/>
    </xf>
    <xf numFmtId="0" fontId="29" fillId="0" borderId="0" xfId="0" applyFont="1" applyAlignment="1">
      <alignment/>
    </xf>
    <xf numFmtId="171" fontId="8" fillId="38" borderId="0" xfId="63" applyFont="1" applyFill="1" applyBorder="1" applyAlignment="1">
      <alignment horizontal="center" vertical="center" wrapText="1"/>
    </xf>
    <xf numFmtId="171" fontId="8" fillId="35" borderId="13" xfId="63" applyFont="1" applyFill="1" applyBorder="1" applyAlignment="1">
      <alignment vertical="center"/>
    </xf>
    <xf numFmtId="4" fontId="8" fillId="35" borderId="36" xfId="53" applyNumberFormat="1" applyFont="1" applyFill="1" applyBorder="1" applyAlignment="1">
      <alignment horizontal="center" vertical="top" wrapText="1"/>
      <protection/>
    </xf>
    <xf numFmtId="0" fontId="6" fillId="34" borderId="28" xfId="53" applyFont="1" applyFill="1" applyBorder="1" applyAlignment="1">
      <alignment horizontal="center" vertical="center"/>
      <protection/>
    </xf>
    <xf numFmtId="4" fontId="6" fillId="34" borderId="13" xfId="53" applyNumberFormat="1" applyFont="1" applyFill="1" applyBorder="1" applyAlignment="1">
      <alignment horizontal="center"/>
      <protection/>
    </xf>
    <xf numFmtId="4" fontId="6" fillId="34" borderId="30" xfId="53" applyNumberFormat="1" applyFont="1" applyFill="1" applyBorder="1" applyAlignment="1">
      <alignment horizontal="center"/>
      <protection/>
    </xf>
    <xf numFmtId="0" fontId="8" fillId="0" borderId="13" xfId="63" applyNumberFormat="1" applyFont="1" applyBorder="1" applyAlignment="1">
      <alignment horizontal="center" vertical="center" wrapText="1"/>
    </xf>
    <xf numFmtId="4" fontId="22" fillId="33" borderId="12" xfId="0" applyNumberFormat="1" applyFont="1" applyFill="1" applyBorder="1" applyAlignment="1">
      <alignment/>
    </xf>
    <xf numFmtId="0" fontId="22" fillId="0" borderId="37" xfId="0" applyFont="1" applyBorder="1" applyAlignment="1">
      <alignment horizontal="right"/>
    </xf>
    <xf numFmtId="0" fontId="30" fillId="0" borderId="12" xfId="0" applyFont="1" applyFill="1" applyBorder="1" applyAlignment="1">
      <alignment horizontal="center" vertical="top" wrapText="1"/>
    </xf>
    <xf numFmtId="4" fontId="22" fillId="0" borderId="12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4" fontId="22" fillId="33" borderId="22" xfId="0" applyNumberFormat="1" applyFont="1" applyFill="1" applyBorder="1" applyAlignment="1">
      <alignment/>
    </xf>
    <xf numFmtId="4" fontId="22" fillId="33" borderId="15" xfId="0" applyNumberFormat="1" applyFont="1" applyFill="1" applyBorder="1" applyAlignment="1">
      <alignment/>
    </xf>
    <xf numFmtId="4" fontId="22" fillId="33" borderId="27" xfId="0" applyNumberFormat="1" applyFont="1" applyFill="1" applyBorder="1" applyAlignment="1">
      <alignment/>
    </xf>
    <xf numFmtId="0" fontId="8" fillId="35" borderId="13" xfId="53" applyFont="1" applyFill="1" applyBorder="1" applyAlignment="1">
      <alignment horizontal="left" vertical="top" wrapText="1"/>
      <protection/>
    </xf>
    <xf numFmtId="0" fontId="6" fillId="34" borderId="13" xfId="53" applyNumberFormat="1" applyFont="1" applyFill="1" applyBorder="1" applyAlignment="1">
      <alignment vertical="top" wrapText="1"/>
      <protection/>
    </xf>
    <xf numFmtId="2" fontId="0" fillId="0" borderId="0" xfId="0" applyNumberFormat="1" applyFont="1" applyAlignment="1">
      <alignment/>
    </xf>
    <xf numFmtId="0" fontId="8" fillId="14" borderId="28" xfId="53" applyFont="1" applyFill="1" applyBorder="1" applyAlignment="1">
      <alignment horizontal="center" vertical="center" wrapText="1"/>
      <protection/>
    </xf>
    <xf numFmtId="0" fontId="6" fillId="14" borderId="13" xfId="53" applyFont="1" applyFill="1" applyBorder="1" applyAlignment="1">
      <alignment wrapText="1"/>
      <protection/>
    </xf>
    <xf numFmtId="2" fontId="10" fillId="0" borderId="0" xfId="63" applyNumberFormat="1" applyFont="1" applyAlignment="1">
      <alignment horizontal="center" vertical="center"/>
    </xf>
    <xf numFmtId="0" fontId="6" fillId="33" borderId="13" xfId="53" applyFont="1" applyFill="1" applyBorder="1" applyAlignment="1">
      <alignment vertical="top" wrapText="1"/>
      <protection/>
    </xf>
    <xf numFmtId="171" fontId="31" fillId="35" borderId="13" xfId="63" applyFont="1" applyFill="1" applyBorder="1" applyAlignment="1">
      <alignment horizontal="center" vertical="center"/>
    </xf>
    <xf numFmtId="2" fontId="6" fillId="37" borderId="13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4" fontId="8" fillId="35" borderId="13" xfId="54" applyNumberFormat="1" applyFont="1" applyFill="1" applyBorder="1" applyAlignment="1">
      <alignment horizontal="right" vertical="top" wrapText="1"/>
      <protection/>
    </xf>
    <xf numFmtId="0" fontId="8" fillId="34" borderId="13" xfId="53" applyNumberFormat="1" applyFont="1" applyFill="1" applyBorder="1" applyAlignment="1">
      <alignment vertical="top" wrapText="1"/>
      <protection/>
    </xf>
    <xf numFmtId="0" fontId="8" fillId="0" borderId="13" xfId="0" applyFont="1" applyBorder="1" applyAlignment="1">
      <alignment horizontal="left" vertical="top" wrapText="1"/>
    </xf>
    <xf numFmtId="0" fontId="6" fillId="34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/>
      <protection/>
    </xf>
    <xf numFmtId="0" fontId="8" fillId="7" borderId="13" xfId="53" applyFont="1" applyFill="1" applyBorder="1" applyAlignment="1">
      <alignment horizontal="left"/>
      <protection/>
    </xf>
    <xf numFmtId="0" fontId="6" fillId="35" borderId="33" xfId="53" applyFont="1" applyFill="1" applyBorder="1" applyAlignment="1">
      <alignment horizontal="center" vertical="top" wrapText="1"/>
      <protection/>
    </xf>
    <xf numFmtId="0" fontId="8" fillId="35" borderId="35" xfId="0" applyFont="1" applyFill="1" applyBorder="1" applyAlignment="1">
      <alignment vertical="top" wrapText="1"/>
    </xf>
    <xf numFmtId="0" fontId="8" fillId="0" borderId="0" xfId="53" applyFont="1" applyFill="1" applyBorder="1" applyAlignment="1">
      <alignment horizontal="left" vertical="top" wrapText="1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8" fillId="0" borderId="22" xfId="53" applyFont="1" applyBorder="1" applyAlignment="1">
      <alignment horizontal="center"/>
      <protection/>
    </xf>
    <xf numFmtId="0" fontId="18" fillId="0" borderId="38" xfId="53" applyFont="1" applyBorder="1" applyAlignment="1">
      <alignment horizontal="center"/>
      <protection/>
    </xf>
    <xf numFmtId="0" fontId="18" fillId="0" borderId="18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6" fillId="0" borderId="0" xfId="53" applyFont="1" applyAlignment="1">
      <alignment horizontal="center" vertical="center" wrapText="1"/>
      <protection/>
    </xf>
    <xf numFmtId="0" fontId="10" fillId="0" borderId="39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vertical="center" wrapText="1"/>
      <protection/>
    </xf>
    <xf numFmtId="0" fontId="10" fillId="0" borderId="40" xfId="5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10" fillId="0" borderId="41" xfId="5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179" fontId="12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9" fillId="0" borderId="12" xfId="0" applyFont="1" applyBorder="1" applyAlignment="1">
      <alignment horizontal="center"/>
    </xf>
    <xf numFmtId="0" fontId="13" fillId="0" borderId="22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vertical="top" wrapText="1"/>
    </xf>
    <xf numFmtId="179" fontId="13" fillId="0" borderId="52" xfId="0" applyNumberFormat="1" applyFont="1" applyBorder="1" applyAlignment="1">
      <alignment horizontal="center" wrapText="1"/>
    </xf>
    <xf numFmtId="179" fontId="13" fillId="0" borderId="53" xfId="0" applyNumberFormat="1" applyFont="1" applyBorder="1" applyAlignment="1">
      <alignment horizontal="center" wrapText="1"/>
    </xf>
    <xf numFmtId="179" fontId="13" fillId="0" borderId="20" xfId="0" applyNumberFormat="1" applyFont="1" applyBorder="1" applyAlignment="1">
      <alignment horizontal="center" wrapText="1"/>
    </xf>
    <xf numFmtId="179" fontId="12" fillId="0" borderId="52" xfId="0" applyNumberFormat="1" applyFont="1" applyBorder="1" applyAlignment="1">
      <alignment horizontal="center" wrapText="1"/>
    </xf>
    <xf numFmtId="179" fontId="12" fillId="0" borderId="53" xfId="0" applyNumberFormat="1" applyFont="1" applyBorder="1" applyAlignment="1">
      <alignment horizontal="center" wrapText="1"/>
    </xf>
    <xf numFmtId="179" fontId="12" fillId="0" borderId="20" xfId="0" applyNumberFormat="1" applyFont="1" applyBorder="1" applyAlignment="1">
      <alignment horizontal="center" wrapText="1"/>
    </xf>
    <xf numFmtId="0" fontId="13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wrapText="1"/>
    </xf>
    <xf numFmtId="0" fontId="12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left" wrapText="1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52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4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="80" zoomScaleSheetLayoutView="80" zoomScalePageLayoutView="0" workbookViewId="0" topLeftCell="A1">
      <selection activeCell="E4" sqref="E4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spans="4:5" ht="15.75">
      <c r="D1" s="326"/>
      <c r="E1" s="38" t="s">
        <v>181</v>
      </c>
    </row>
    <row r="2" spans="4:5" ht="15.75">
      <c r="D2" s="38"/>
      <c r="E2" s="38" t="s">
        <v>112</v>
      </c>
    </row>
    <row r="3" spans="4:5" ht="18.75" customHeight="1">
      <c r="D3" s="38"/>
      <c r="E3" s="38" t="s">
        <v>1441</v>
      </c>
    </row>
    <row r="4" spans="3:5" ht="18.75" customHeight="1">
      <c r="C4" s="2"/>
      <c r="D4" s="38"/>
      <c r="E4" s="326"/>
    </row>
    <row r="5" spans="1:5" ht="35.25" customHeight="1">
      <c r="A5" s="520" t="s">
        <v>1258</v>
      </c>
      <c r="B5" s="520"/>
      <c r="C5" s="520"/>
      <c r="D5" s="520"/>
      <c r="E5" s="520"/>
    </row>
    <row r="6" spans="1:7" ht="18" customHeight="1">
      <c r="A6" s="519" t="s">
        <v>333</v>
      </c>
      <c r="B6" s="519"/>
      <c r="C6" s="519"/>
      <c r="D6" s="100"/>
      <c r="E6" s="34"/>
      <c r="F6" s="34"/>
      <c r="G6" s="34"/>
    </row>
    <row r="7" spans="2:5" ht="16.5" thickBot="1">
      <c r="B7" s="4"/>
      <c r="C7" s="15"/>
      <c r="D7" s="15"/>
      <c r="E7" s="144" t="s">
        <v>692</v>
      </c>
    </row>
    <row r="8" spans="1:5" s="82" customFormat="1" ht="63.75" thickBot="1">
      <c r="A8" s="73" t="s">
        <v>50</v>
      </c>
      <c r="B8" s="72" t="s">
        <v>51</v>
      </c>
      <c r="C8" s="73" t="s">
        <v>175</v>
      </c>
      <c r="D8" s="73" t="s">
        <v>324</v>
      </c>
      <c r="E8" s="73" t="s">
        <v>325</v>
      </c>
    </row>
    <row r="9" spans="1:5" s="82" customFormat="1" ht="16.5" thickBot="1">
      <c r="A9" s="37">
        <v>1</v>
      </c>
      <c r="B9" s="36">
        <v>2</v>
      </c>
      <c r="C9" s="36">
        <v>3</v>
      </c>
      <c r="D9" s="25">
        <v>4</v>
      </c>
      <c r="E9" s="25">
        <v>5</v>
      </c>
    </row>
    <row r="10" spans="1:5" s="82" customFormat="1" ht="95.25" thickBot="1">
      <c r="A10" s="37" t="s">
        <v>52</v>
      </c>
      <c r="B10" s="83" t="s">
        <v>269</v>
      </c>
      <c r="C10" s="105">
        <v>100</v>
      </c>
      <c r="D10" s="36"/>
      <c r="E10" s="36"/>
    </row>
    <row r="11" spans="1:5" s="82" customFormat="1" ht="48" thickBot="1">
      <c r="A11" s="37" t="s">
        <v>270</v>
      </c>
      <c r="B11" s="83" t="s">
        <v>174</v>
      </c>
      <c r="C11" s="105">
        <v>100</v>
      </c>
      <c r="D11" s="36"/>
      <c r="E11" s="36"/>
    </row>
    <row r="12" spans="1:5" ht="37.5" customHeight="1" thickBot="1">
      <c r="A12" s="28" t="s">
        <v>329</v>
      </c>
      <c r="B12" s="27" t="s">
        <v>62</v>
      </c>
      <c r="C12" s="99">
        <v>100</v>
      </c>
      <c r="D12" s="35"/>
      <c r="E12" s="103"/>
    </row>
    <row r="13" spans="1:5" ht="30.75" customHeight="1" thickBot="1">
      <c r="A13" s="28" t="s">
        <v>334</v>
      </c>
      <c r="B13" s="27" t="s">
        <v>337</v>
      </c>
      <c r="C13" s="99"/>
      <c r="D13" s="35"/>
      <c r="E13" s="104">
        <v>100</v>
      </c>
    </row>
    <row r="14" spans="1:5" ht="67.5" customHeight="1" thickBot="1">
      <c r="A14" s="25" t="s">
        <v>332</v>
      </c>
      <c r="B14" s="102" t="s">
        <v>54</v>
      </c>
      <c r="C14" s="99">
        <v>100</v>
      </c>
      <c r="D14" s="35"/>
      <c r="E14" s="103"/>
    </row>
    <row r="15" spans="1:5" ht="37.5" customHeight="1" thickBot="1">
      <c r="A15" s="25" t="s">
        <v>330</v>
      </c>
      <c r="B15" s="102" t="s">
        <v>16</v>
      </c>
      <c r="C15" s="99">
        <v>100</v>
      </c>
      <c r="D15" s="35"/>
      <c r="E15" s="103"/>
    </row>
    <row r="16" spans="1:5" ht="33" customHeight="1" thickBot="1">
      <c r="A16" s="25" t="s">
        <v>335</v>
      </c>
      <c r="B16" s="102" t="s">
        <v>336</v>
      </c>
      <c r="C16" s="99"/>
      <c r="D16" s="35"/>
      <c r="E16" s="104">
        <v>100</v>
      </c>
    </row>
    <row r="17" spans="1:5" ht="33" customHeight="1" thickBot="1">
      <c r="A17" s="25" t="s">
        <v>689</v>
      </c>
      <c r="B17" s="102" t="s">
        <v>688</v>
      </c>
      <c r="C17" s="99"/>
      <c r="D17" s="35">
        <v>100</v>
      </c>
      <c r="E17" s="104"/>
    </row>
    <row r="18" spans="1:5" ht="36" customHeight="1" thickBot="1">
      <c r="A18" s="25" t="s">
        <v>331</v>
      </c>
      <c r="B18" s="102" t="s">
        <v>49</v>
      </c>
      <c r="C18" s="99">
        <v>100</v>
      </c>
      <c r="D18" s="35"/>
      <c r="E18" s="103"/>
    </row>
    <row r="19" spans="2:4" ht="81.75" customHeight="1">
      <c r="B19" s="78"/>
      <c r="C19" s="75"/>
      <c r="D19" s="75"/>
    </row>
    <row r="20" spans="2:4" ht="83.25" customHeight="1">
      <c r="B20" s="78"/>
      <c r="C20" s="75"/>
      <c r="D20" s="75"/>
    </row>
    <row r="21" spans="2:4" ht="15.75">
      <c r="B21" s="78"/>
      <c r="C21" s="75"/>
      <c r="D21" s="75"/>
    </row>
    <row r="22" spans="2:4" ht="49.5" customHeight="1">
      <c r="B22" s="78"/>
      <c r="C22" s="75"/>
      <c r="D22" s="75"/>
    </row>
    <row r="23" spans="2:4" ht="95.25" customHeight="1">
      <c r="B23" s="78"/>
      <c r="C23" s="75"/>
      <c r="D23" s="75"/>
    </row>
    <row r="24" spans="2:4" ht="69" customHeight="1">
      <c r="B24" s="78"/>
      <c r="C24" s="75"/>
      <c r="D24" s="75"/>
    </row>
    <row r="25" spans="2:4" ht="34.5" customHeight="1">
      <c r="B25" s="78"/>
      <c r="C25" s="75"/>
      <c r="D25" s="75"/>
    </row>
    <row r="26" spans="2:4" ht="37.5" customHeight="1">
      <c r="B26" s="78"/>
      <c r="C26" s="75"/>
      <c r="D26" s="75"/>
    </row>
    <row r="27" spans="2:4" ht="37.5" customHeight="1">
      <c r="B27" s="78"/>
      <c r="C27" s="75"/>
      <c r="D27" s="75"/>
    </row>
    <row r="28" spans="2:4" ht="36" customHeight="1">
      <c r="B28" s="78"/>
      <c r="C28" s="75"/>
      <c r="D28" s="75"/>
    </row>
    <row r="29" spans="2:4" ht="81" customHeight="1">
      <c r="B29" s="78"/>
      <c r="C29" s="75"/>
      <c r="D29" s="75"/>
    </row>
    <row r="30" spans="2:4" ht="82.5" customHeight="1">
      <c r="B30" s="78"/>
      <c r="C30" s="75"/>
      <c r="D30" s="75"/>
    </row>
    <row r="31" spans="2:4" ht="84" customHeight="1">
      <c r="B31" s="78"/>
      <c r="C31" s="75"/>
      <c r="D31" s="75"/>
    </row>
    <row r="32" spans="2:4" ht="99" customHeight="1">
      <c r="B32" s="78"/>
      <c r="C32" s="75"/>
      <c r="D32" s="75"/>
    </row>
    <row r="33" spans="2:4" ht="114" customHeight="1">
      <c r="B33" s="76"/>
      <c r="C33" s="75"/>
      <c r="D33" s="75"/>
    </row>
    <row r="34" spans="2:4" ht="81" customHeight="1">
      <c r="B34" s="76"/>
      <c r="C34" s="75"/>
      <c r="D34" s="75"/>
    </row>
    <row r="35" spans="2:4" ht="81" customHeight="1">
      <c r="B35" s="78"/>
      <c r="C35" s="75"/>
      <c r="D35" s="75"/>
    </row>
    <row r="36" spans="2:4" ht="51.75" customHeight="1">
      <c r="B36" s="78"/>
      <c r="C36" s="75"/>
      <c r="D36" s="75"/>
    </row>
    <row r="37" spans="2:4" ht="66.75" customHeight="1">
      <c r="B37" s="79"/>
      <c r="C37" s="75"/>
      <c r="D37" s="75"/>
    </row>
    <row r="38" spans="2:4" ht="66" customHeight="1">
      <c r="B38" s="78"/>
      <c r="C38" s="75"/>
      <c r="D38" s="75"/>
    </row>
    <row r="39" spans="2:4" ht="49.5" customHeight="1" hidden="1" thickBot="1">
      <c r="B39" s="78"/>
      <c r="C39" s="75"/>
      <c r="D39" s="75"/>
    </row>
    <row r="40" spans="2:4" ht="15.75">
      <c r="B40" s="78"/>
      <c r="C40" s="75"/>
      <c r="D40" s="75"/>
    </row>
    <row r="41" spans="2:4" ht="15.75">
      <c r="B41" s="76"/>
      <c r="C41" s="75"/>
      <c r="D41" s="75"/>
    </row>
    <row r="42" spans="2:4" ht="84" customHeight="1">
      <c r="B42" s="80"/>
      <c r="C42" s="75"/>
      <c r="D42" s="75"/>
    </row>
    <row r="43" spans="2:4" ht="15.75">
      <c r="B43" s="80"/>
      <c r="C43" s="75"/>
      <c r="D43" s="75"/>
    </row>
    <row r="44" spans="2:4" ht="15.75">
      <c r="B44" s="76"/>
      <c r="C44" s="75"/>
      <c r="D44" s="75"/>
    </row>
    <row r="45" spans="2:4" ht="15.75">
      <c r="B45" s="76"/>
      <c r="C45" s="75"/>
      <c r="D45" s="75"/>
    </row>
    <row r="46" spans="2:4" ht="15.75">
      <c r="B46" s="76"/>
      <c r="C46" s="75"/>
      <c r="D46" s="75"/>
    </row>
    <row r="47" spans="2:4" ht="15.75" hidden="1">
      <c r="B47" s="81"/>
      <c r="C47" s="75"/>
      <c r="D47" s="75"/>
    </row>
    <row r="48" spans="2:4" ht="65.25" customHeight="1" hidden="1" thickBot="1">
      <c r="B48" s="76"/>
      <c r="C48" s="75"/>
      <c r="D48" s="75"/>
    </row>
    <row r="49" spans="2:4" ht="65.25" customHeight="1" hidden="1" thickBot="1">
      <c r="B49" s="78"/>
      <c r="C49" s="75"/>
      <c r="D49" s="75"/>
    </row>
    <row r="50" spans="2:4" ht="36" customHeight="1" hidden="1" thickBot="1">
      <c r="B50" s="78"/>
      <c r="C50" s="75"/>
      <c r="D50" s="75"/>
    </row>
    <row r="51" spans="2:4" ht="36" customHeight="1" hidden="1" thickBot="1">
      <c r="B51" s="76"/>
      <c r="C51" s="75"/>
      <c r="D51" s="75"/>
    </row>
    <row r="52" spans="2:4" ht="54.75" customHeight="1" hidden="1" thickBot="1">
      <c r="B52" s="77"/>
      <c r="C52" s="75"/>
      <c r="D52" s="75"/>
    </row>
    <row r="53" spans="2:4" ht="66.75" customHeight="1" hidden="1" thickBot="1">
      <c r="B53" s="76"/>
      <c r="C53" s="75"/>
      <c r="D53" s="75"/>
    </row>
    <row r="54" spans="2:4" ht="67.5" customHeight="1" hidden="1" thickBot="1">
      <c r="B54" s="78"/>
      <c r="C54" s="75"/>
      <c r="D54" s="75"/>
    </row>
    <row r="55" spans="2:4" ht="35.25" customHeight="1" hidden="1" thickBot="1">
      <c r="B55" s="78"/>
      <c r="C55" s="75"/>
      <c r="D55" s="75"/>
    </row>
    <row r="56" spans="2:4" ht="37.5" customHeight="1" hidden="1" thickBot="1">
      <c r="B56" s="76"/>
      <c r="C56" s="75"/>
      <c r="D56" s="75"/>
    </row>
    <row r="57" spans="2:4" ht="51.75" customHeight="1">
      <c r="B57" s="77"/>
      <c r="C57" s="75"/>
      <c r="D57" s="75"/>
    </row>
    <row r="58" spans="2:4" ht="66" customHeight="1">
      <c r="B58" s="76"/>
      <c r="C58" s="75"/>
      <c r="D58" s="75"/>
    </row>
    <row r="59" spans="2:4" ht="66" customHeight="1">
      <c r="B59" s="78"/>
      <c r="C59" s="75"/>
      <c r="D59" s="75"/>
    </row>
    <row r="60" spans="2:4" ht="33.75" customHeight="1">
      <c r="B60" s="78"/>
      <c r="C60" s="75"/>
      <c r="D60" s="75"/>
    </row>
    <row r="61" spans="2:4" ht="35.25" customHeight="1">
      <c r="B61" s="76"/>
      <c r="C61" s="75"/>
      <c r="D61" s="75"/>
    </row>
    <row r="62" spans="2:4" ht="35.25" customHeight="1">
      <c r="B62" s="77"/>
      <c r="C62" s="75"/>
      <c r="D62" s="75"/>
    </row>
    <row r="63" spans="2:4" ht="36" customHeight="1">
      <c r="B63" s="76"/>
      <c r="C63" s="75"/>
      <c r="D63" s="75"/>
    </row>
    <row r="64" spans="2:4" ht="66" customHeight="1">
      <c r="B64" s="78"/>
      <c r="C64" s="75"/>
      <c r="D64" s="75"/>
    </row>
    <row r="65" spans="2:4" ht="33.75" customHeight="1">
      <c r="B65" s="74"/>
      <c r="C65" s="75"/>
      <c r="D65" s="75"/>
    </row>
    <row r="66" spans="2:4" ht="34.5" customHeight="1">
      <c r="B66" s="76"/>
      <c r="C66" s="75"/>
      <c r="D66" s="7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SheetLayoutView="80" zoomScalePageLayoutView="0" workbookViewId="0" topLeftCell="A19">
      <selection activeCell="Q51" sqref="Q51"/>
    </sheetView>
  </sheetViews>
  <sheetFormatPr defaultColWidth="9.140625" defaultRowHeight="12.75"/>
  <cols>
    <col min="1" max="1" width="9.140625" style="39" customWidth="1"/>
    <col min="2" max="2" width="21.7109375" style="39" customWidth="1"/>
    <col min="3" max="3" width="10.7109375" style="39" customWidth="1"/>
    <col min="4" max="4" width="12.8515625" style="39" customWidth="1"/>
    <col min="5" max="5" width="10.00390625" style="39" customWidth="1"/>
    <col min="6" max="6" width="14.00390625" style="39" customWidth="1"/>
    <col min="7" max="7" width="13.7109375" style="39" customWidth="1"/>
    <col min="8" max="8" width="14.00390625" style="39" customWidth="1"/>
    <col min="9" max="9" width="13.421875" style="39" customWidth="1"/>
    <col min="10" max="10" width="14.57421875" style="39" bestFit="1" customWidth="1"/>
    <col min="11" max="16384" width="9.140625" style="39" customWidth="1"/>
  </cols>
  <sheetData>
    <row r="1" spans="1:8" ht="15.75">
      <c r="A1" s="4"/>
      <c r="B1" s="4"/>
      <c r="D1" s="34"/>
      <c r="E1" s="34"/>
      <c r="G1" s="34"/>
      <c r="H1" s="38" t="s">
        <v>15</v>
      </c>
    </row>
    <row r="2" spans="1:8" ht="15.75">
      <c r="A2" s="4"/>
      <c r="B2" s="4"/>
      <c r="E2" s="34"/>
      <c r="F2" s="34"/>
      <c r="G2" s="34"/>
      <c r="H2" s="38" t="s">
        <v>112</v>
      </c>
    </row>
    <row r="3" spans="1:8" ht="15.75">
      <c r="A3" s="4"/>
      <c r="B3" s="4"/>
      <c r="C3" s="40"/>
      <c r="E3" s="34"/>
      <c r="F3" s="34"/>
      <c r="G3" s="34" t="s">
        <v>1441</v>
      </c>
      <c r="H3" s="38"/>
    </row>
    <row r="4" spans="1:6" ht="15.75">
      <c r="A4" s="4"/>
      <c r="B4" s="4"/>
      <c r="C4" s="40"/>
      <c r="D4" s="38"/>
      <c r="E4" s="38"/>
      <c r="F4" s="38"/>
    </row>
    <row r="5" spans="1:8" ht="15.75">
      <c r="A5" s="4"/>
      <c r="B5" s="4"/>
      <c r="C5" s="1"/>
      <c r="D5" s="2"/>
      <c r="E5" s="2"/>
      <c r="H5" s="38" t="s">
        <v>638</v>
      </c>
    </row>
    <row r="6" spans="1:8" ht="54" customHeight="1" thickBot="1">
      <c r="A6" s="560" t="s">
        <v>1475</v>
      </c>
      <c r="B6" s="560"/>
      <c r="C6" s="560"/>
      <c r="D6" s="560"/>
      <c r="E6" s="560"/>
      <c r="F6" s="560"/>
      <c r="G6" s="560"/>
      <c r="H6" s="560"/>
    </row>
    <row r="7" spans="1:8" ht="52.5" customHeight="1" thickBot="1">
      <c r="A7" s="561" t="s">
        <v>233</v>
      </c>
      <c r="B7" s="561" t="s">
        <v>234</v>
      </c>
      <c r="C7" s="561" t="s">
        <v>287</v>
      </c>
      <c r="D7" s="561" t="s">
        <v>311</v>
      </c>
      <c r="E7" s="561" t="s">
        <v>317</v>
      </c>
      <c r="F7" s="563" t="s">
        <v>222</v>
      </c>
      <c r="G7" s="564"/>
      <c r="H7" s="565"/>
    </row>
    <row r="8" spans="1:8" ht="16.5" thickBot="1">
      <c r="A8" s="562"/>
      <c r="B8" s="562"/>
      <c r="C8" s="562"/>
      <c r="D8" s="562"/>
      <c r="E8" s="562"/>
      <c r="F8" s="25" t="s">
        <v>640</v>
      </c>
      <c r="G8" s="25" t="s">
        <v>641</v>
      </c>
      <c r="H8" s="25" t="s">
        <v>642</v>
      </c>
    </row>
    <row r="9" spans="1:8" ht="13.5" thickBot="1">
      <c r="A9" s="41" t="s">
        <v>113</v>
      </c>
      <c r="B9" s="557" t="s">
        <v>189</v>
      </c>
      <c r="C9" s="558"/>
      <c r="D9" s="558"/>
      <c r="E9" s="558"/>
      <c r="F9" s="558"/>
      <c r="G9" s="558"/>
      <c r="H9" s="559"/>
    </row>
    <row r="10" spans="1:8" ht="16.5" thickBot="1">
      <c r="A10" s="35">
        <v>1</v>
      </c>
      <c r="B10" s="42" t="s">
        <v>190</v>
      </c>
      <c r="C10" s="43" t="s">
        <v>266</v>
      </c>
      <c r="D10" s="35">
        <v>3190051200</v>
      </c>
      <c r="E10" s="43" t="s">
        <v>617</v>
      </c>
      <c r="F10" s="45">
        <v>620</v>
      </c>
      <c r="G10" s="45">
        <v>665</v>
      </c>
      <c r="H10" s="45">
        <v>2885</v>
      </c>
    </row>
    <row r="11" spans="1:8" ht="16.5" thickBot="1">
      <c r="A11" s="35">
        <v>2</v>
      </c>
      <c r="B11" s="42" t="s">
        <v>191</v>
      </c>
      <c r="C11" s="43" t="s">
        <v>266</v>
      </c>
      <c r="D11" s="35">
        <v>3190051200</v>
      </c>
      <c r="E11" s="43" t="s">
        <v>617</v>
      </c>
      <c r="F11" s="45">
        <v>1111</v>
      </c>
      <c r="G11" s="45">
        <v>1189</v>
      </c>
      <c r="H11" s="45">
        <v>5173</v>
      </c>
    </row>
    <row r="12" spans="1:8" ht="16.5" thickBot="1">
      <c r="A12" s="35">
        <v>3</v>
      </c>
      <c r="B12" s="42" t="s">
        <v>192</v>
      </c>
      <c r="C12" s="43" t="s">
        <v>266</v>
      </c>
      <c r="D12" s="35">
        <v>3190051200</v>
      </c>
      <c r="E12" s="43" t="s">
        <v>617</v>
      </c>
      <c r="F12" s="45">
        <v>748</v>
      </c>
      <c r="G12" s="45">
        <v>801</v>
      </c>
      <c r="H12" s="45">
        <v>3502</v>
      </c>
    </row>
    <row r="13" spans="1:8" ht="16.5" thickBot="1">
      <c r="A13" s="35">
        <v>4</v>
      </c>
      <c r="B13" s="42" t="s">
        <v>193</v>
      </c>
      <c r="C13" s="43" t="s">
        <v>266</v>
      </c>
      <c r="D13" s="35">
        <v>3190051200</v>
      </c>
      <c r="E13" s="43" t="s">
        <v>617</v>
      </c>
      <c r="F13" s="45">
        <v>1515</v>
      </c>
      <c r="G13" s="45">
        <v>1622</v>
      </c>
      <c r="H13" s="45">
        <v>6974</v>
      </c>
    </row>
    <row r="14" spans="1:8" ht="16.5" thickBot="1">
      <c r="A14" s="35">
        <v>5</v>
      </c>
      <c r="B14" s="44" t="s">
        <v>194</v>
      </c>
      <c r="C14" s="43" t="s">
        <v>266</v>
      </c>
      <c r="D14" s="35">
        <v>3190051200</v>
      </c>
      <c r="E14" s="43" t="s">
        <v>617</v>
      </c>
      <c r="F14" s="45">
        <v>1670</v>
      </c>
      <c r="G14" s="45">
        <v>1782</v>
      </c>
      <c r="H14" s="45">
        <v>7673</v>
      </c>
    </row>
    <row r="15" spans="1:8" ht="16.5" thickBot="1">
      <c r="A15" s="35">
        <v>6</v>
      </c>
      <c r="B15" s="42" t="s">
        <v>195</v>
      </c>
      <c r="C15" s="43" t="s">
        <v>266</v>
      </c>
      <c r="D15" s="35">
        <v>3190051200</v>
      </c>
      <c r="E15" s="43" t="s">
        <v>617</v>
      </c>
      <c r="F15" s="45">
        <v>1237</v>
      </c>
      <c r="G15" s="45">
        <v>1325</v>
      </c>
      <c r="H15" s="45">
        <v>6234</v>
      </c>
    </row>
    <row r="16" spans="1:8" ht="16.5" thickBot="1">
      <c r="A16" s="35">
        <v>7</v>
      </c>
      <c r="B16" s="42" t="s">
        <v>196</v>
      </c>
      <c r="C16" s="43" t="s">
        <v>266</v>
      </c>
      <c r="D16" s="35">
        <v>3190051200</v>
      </c>
      <c r="E16" s="43" t="s">
        <v>617</v>
      </c>
      <c r="F16" s="45">
        <v>535</v>
      </c>
      <c r="G16" s="45">
        <v>573</v>
      </c>
      <c r="H16" s="45">
        <v>2504</v>
      </c>
    </row>
    <row r="17" spans="1:8" ht="16.5" thickBot="1">
      <c r="A17" s="35">
        <v>8</v>
      </c>
      <c r="B17" s="42" t="s">
        <v>197</v>
      </c>
      <c r="C17" s="43" t="s">
        <v>266</v>
      </c>
      <c r="D17" s="35">
        <v>3190051200</v>
      </c>
      <c r="E17" s="43" t="s">
        <v>617</v>
      </c>
      <c r="F17" s="45">
        <v>1670</v>
      </c>
      <c r="G17" s="45">
        <v>1782</v>
      </c>
      <c r="H17" s="45">
        <v>7469</v>
      </c>
    </row>
    <row r="18" spans="1:8" ht="16.5" thickBot="1">
      <c r="A18" s="42"/>
      <c r="B18" s="329" t="s">
        <v>198</v>
      </c>
      <c r="C18" s="330"/>
      <c r="D18" s="331"/>
      <c r="E18" s="330"/>
      <c r="F18" s="332">
        <f>SUM(F10:F17)</f>
        <v>9106</v>
      </c>
      <c r="G18" s="332">
        <f>SUM(G10:G17)</f>
        <v>9739</v>
      </c>
      <c r="H18" s="332">
        <f>SUM(H10:H17)</f>
        <v>42414</v>
      </c>
    </row>
    <row r="20" spans="1:7" s="142" customFormat="1" ht="15.75">
      <c r="A20" s="139"/>
      <c r="B20" s="139"/>
      <c r="C20" s="140"/>
      <c r="D20" s="141"/>
      <c r="E20" s="141"/>
      <c r="G20" s="143"/>
    </row>
    <row r="21" spans="1:8" s="142" customFormat="1" ht="32.25" customHeight="1">
      <c r="A21" s="4"/>
      <c r="B21" s="4"/>
      <c r="C21" s="1"/>
      <c r="D21" s="2"/>
      <c r="E21" s="2"/>
      <c r="F21" s="39"/>
      <c r="G21" s="39"/>
      <c r="H21" s="38" t="s">
        <v>737</v>
      </c>
    </row>
    <row r="22" spans="1:8" s="142" customFormat="1" ht="72.75" customHeight="1" thickBot="1">
      <c r="A22" s="560" t="s">
        <v>1295</v>
      </c>
      <c r="B22" s="560"/>
      <c r="C22" s="560"/>
      <c r="D22" s="560"/>
      <c r="E22" s="560"/>
      <c r="F22" s="560"/>
      <c r="G22" s="560"/>
      <c r="H22" s="560"/>
    </row>
    <row r="23" spans="1:8" s="142" customFormat="1" ht="16.5" customHeight="1">
      <c r="A23" s="561" t="s">
        <v>233</v>
      </c>
      <c r="B23" s="561" t="s">
        <v>234</v>
      </c>
      <c r="C23" s="561" t="s">
        <v>287</v>
      </c>
      <c r="D23" s="561" t="s">
        <v>311</v>
      </c>
      <c r="E23" s="561" t="s">
        <v>317</v>
      </c>
      <c r="F23" s="190" t="s">
        <v>640</v>
      </c>
      <c r="G23" s="561" t="s">
        <v>641</v>
      </c>
      <c r="H23" s="561" t="s">
        <v>642</v>
      </c>
    </row>
    <row r="24" spans="1:8" s="142" customFormat="1" ht="15" customHeight="1" thickBot="1">
      <c r="A24" s="562"/>
      <c r="B24" s="562"/>
      <c r="C24" s="562"/>
      <c r="D24" s="562"/>
      <c r="E24" s="562"/>
      <c r="F24" s="37"/>
      <c r="G24" s="562"/>
      <c r="H24" s="562"/>
    </row>
    <row r="25" spans="1:8" s="142" customFormat="1" ht="13.5" thickBot="1">
      <c r="A25" s="41" t="s">
        <v>153</v>
      </c>
      <c r="B25" s="557" t="s">
        <v>154</v>
      </c>
      <c r="C25" s="558"/>
      <c r="D25" s="558"/>
      <c r="E25" s="558"/>
      <c r="F25" s="558"/>
      <c r="G25" s="558"/>
      <c r="H25" s="559"/>
    </row>
    <row r="26" spans="1:8" s="142" customFormat="1" ht="16.5" thickBot="1">
      <c r="A26" s="35">
        <v>1</v>
      </c>
      <c r="B26" s="42" t="s">
        <v>190</v>
      </c>
      <c r="C26" s="43" t="s">
        <v>646</v>
      </c>
      <c r="D26" s="43" t="s">
        <v>745</v>
      </c>
      <c r="E26" s="43" t="s">
        <v>738</v>
      </c>
      <c r="F26" s="279">
        <v>94723.52</v>
      </c>
      <c r="G26" s="45"/>
      <c r="H26" s="45"/>
    </row>
    <row r="27" spans="1:8" s="142" customFormat="1" ht="16.5" thickBot="1">
      <c r="A27" s="35">
        <v>2</v>
      </c>
      <c r="B27" s="42" t="s">
        <v>191</v>
      </c>
      <c r="C27" s="43" t="s">
        <v>646</v>
      </c>
      <c r="D27" s="43" t="s">
        <v>745</v>
      </c>
      <c r="E27" s="43" t="s">
        <v>738</v>
      </c>
      <c r="F27" s="280">
        <f>163852.6</f>
        <v>163852.6</v>
      </c>
      <c r="G27" s="45"/>
      <c r="H27" s="45"/>
    </row>
    <row r="28" spans="1:8" s="142" customFormat="1" ht="16.5" thickBot="1">
      <c r="A28" s="35">
        <v>3</v>
      </c>
      <c r="B28" s="42" t="s">
        <v>192</v>
      </c>
      <c r="C28" s="43" t="s">
        <v>646</v>
      </c>
      <c r="D28" s="43" t="s">
        <v>745</v>
      </c>
      <c r="E28" s="43" t="s">
        <v>738</v>
      </c>
      <c r="F28" s="280">
        <v>109650.5</v>
      </c>
      <c r="G28" s="45"/>
      <c r="H28" s="45"/>
    </row>
    <row r="29" spans="1:8" s="142" customFormat="1" ht="16.5" thickBot="1">
      <c r="A29" s="35">
        <v>4</v>
      </c>
      <c r="B29" s="42" t="s">
        <v>193</v>
      </c>
      <c r="C29" s="43" t="s">
        <v>646</v>
      </c>
      <c r="D29" s="43" t="s">
        <v>745</v>
      </c>
      <c r="E29" s="43" t="s">
        <v>738</v>
      </c>
      <c r="F29" s="280">
        <v>42906.53</v>
      </c>
      <c r="G29" s="45"/>
      <c r="H29" s="45"/>
    </row>
    <row r="30" spans="1:8" s="142" customFormat="1" ht="16.5" thickBot="1">
      <c r="A30" s="35">
        <v>5</v>
      </c>
      <c r="B30" s="42" t="s">
        <v>195</v>
      </c>
      <c r="C30" s="43" t="s">
        <v>646</v>
      </c>
      <c r="D30" s="43" t="s">
        <v>745</v>
      </c>
      <c r="E30" s="43" t="s">
        <v>738</v>
      </c>
      <c r="F30" s="280">
        <v>94359.91</v>
      </c>
      <c r="G30" s="45"/>
      <c r="H30" s="45"/>
    </row>
    <row r="31" spans="1:8" s="142" customFormat="1" ht="16.5" thickBot="1">
      <c r="A31" s="35">
        <v>6</v>
      </c>
      <c r="B31" s="42" t="s">
        <v>196</v>
      </c>
      <c r="C31" s="43" t="s">
        <v>646</v>
      </c>
      <c r="D31" s="43" t="s">
        <v>745</v>
      </c>
      <c r="E31" s="43" t="s">
        <v>738</v>
      </c>
      <c r="F31" s="280">
        <v>37778.01</v>
      </c>
      <c r="G31" s="45"/>
      <c r="H31" s="45"/>
    </row>
    <row r="32" spans="1:8" s="142" customFormat="1" ht="16.5" thickBot="1">
      <c r="A32" s="35">
        <v>7</v>
      </c>
      <c r="B32" s="42" t="s">
        <v>197</v>
      </c>
      <c r="C32" s="43" t="s">
        <v>646</v>
      </c>
      <c r="D32" s="43" t="s">
        <v>745</v>
      </c>
      <c r="E32" s="43" t="s">
        <v>738</v>
      </c>
      <c r="F32" s="280">
        <v>45465.36</v>
      </c>
      <c r="G32" s="45"/>
      <c r="H32" s="45"/>
    </row>
    <row r="33" spans="1:8" ht="16.5" thickBot="1">
      <c r="A33" s="42"/>
      <c r="B33" s="329" t="s">
        <v>198</v>
      </c>
      <c r="C33" s="330"/>
      <c r="D33" s="331"/>
      <c r="E33" s="330"/>
      <c r="F33" s="334">
        <f>SUM(F26:F32)</f>
        <v>588736.43</v>
      </c>
      <c r="G33" s="460">
        <f>SUM(G26:G32)</f>
        <v>0</v>
      </c>
      <c r="H33" s="460">
        <f>SUM(H26:H32)</f>
        <v>0</v>
      </c>
    </row>
    <row r="34" ht="12.75">
      <c r="F34" s="271"/>
    </row>
    <row r="35" spans="6:7" ht="12.75">
      <c r="F35" s="271"/>
      <c r="G35" s="278"/>
    </row>
    <row r="36" ht="12.75">
      <c r="F36" s="271"/>
    </row>
    <row r="38" spans="1:8" ht="15.75">
      <c r="A38" s="4"/>
      <c r="B38" s="4"/>
      <c r="C38" s="1"/>
      <c r="D38" s="2"/>
      <c r="E38" s="2"/>
      <c r="H38" s="38" t="s">
        <v>756</v>
      </c>
    </row>
    <row r="39" spans="1:8" ht="159.75" customHeight="1" thickBot="1">
      <c r="A39" s="560" t="s">
        <v>1296</v>
      </c>
      <c r="B39" s="560"/>
      <c r="C39" s="560"/>
      <c r="D39" s="560"/>
      <c r="E39" s="560"/>
      <c r="F39" s="560"/>
      <c r="G39" s="560"/>
      <c r="H39" s="560"/>
    </row>
    <row r="40" spans="1:8" ht="12.75" customHeight="1">
      <c r="A40" s="561" t="s">
        <v>233</v>
      </c>
      <c r="B40" s="561" t="s">
        <v>234</v>
      </c>
      <c r="C40" s="561" t="s">
        <v>287</v>
      </c>
      <c r="D40" s="561" t="s">
        <v>311</v>
      </c>
      <c r="E40" s="561" t="s">
        <v>317</v>
      </c>
      <c r="F40" s="190" t="s">
        <v>640</v>
      </c>
      <c r="G40" s="561" t="s">
        <v>641</v>
      </c>
      <c r="H40" s="561" t="s">
        <v>642</v>
      </c>
    </row>
    <row r="41" spans="1:8" ht="20.25" customHeight="1" thickBot="1">
      <c r="A41" s="562"/>
      <c r="B41" s="562"/>
      <c r="C41" s="562"/>
      <c r="D41" s="562"/>
      <c r="E41" s="562"/>
      <c r="F41" s="37"/>
      <c r="G41" s="562"/>
      <c r="H41" s="562"/>
    </row>
    <row r="42" spans="1:8" ht="13.5" thickBot="1">
      <c r="A42" s="41" t="s">
        <v>153</v>
      </c>
      <c r="B42" s="557" t="s">
        <v>154</v>
      </c>
      <c r="C42" s="558"/>
      <c r="D42" s="558"/>
      <c r="E42" s="558"/>
      <c r="F42" s="558"/>
      <c r="G42" s="558"/>
      <c r="H42" s="559"/>
    </row>
    <row r="43" spans="1:8" ht="16.5" thickBot="1">
      <c r="A43" s="35">
        <v>1</v>
      </c>
      <c r="B43" s="42" t="s">
        <v>190</v>
      </c>
      <c r="C43" s="43" t="s">
        <v>99</v>
      </c>
      <c r="D43" s="43" t="s">
        <v>757</v>
      </c>
      <c r="E43" s="43" t="s">
        <v>738</v>
      </c>
      <c r="F43" s="279">
        <v>182062.09</v>
      </c>
      <c r="G43" s="45"/>
      <c r="H43" s="45"/>
    </row>
    <row r="44" spans="1:8" ht="16.5" thickBot="1">
      <c r="A44" s="35">
        <v>2</v>
      </c>
      <c r="B44" s="42" t="s">
        <v>191</v>
      </c>
      <c r="C44" s="43" t="s">
        <v>99</v>
      </c>
      <c r="D44" s="43" t="s">
        <v>757</v>
      </c>
      <c r="E44" s="43" t="s">
        <v>738</v>
      </c>
      <c r="F44" s="280">
        <v>405594.21</v>
      </c>
      <c r="G44" s="45"/>
      <c r="H44" s="45"/>
    </row>
    <row r="45" spans="1:8" ht="16.5" thickBot="1">
      <c r="A45" s="35">
        <v>3</v>
      </c>
      <c r="B45" s="42" t="s">
        <v>192</v>
      </c>
      <c r="C45" s="43" t="s">
        <v>99</v>
      </c>
      <c r="D45" s="43" t="s">
        <v>757</v>
      </c>
      <c r="E45" s="43" t="s">
        <v>738</v>
      </c>
      <c r="F45" s="280">
        <v>375786.18</v>
      </c>
      <c r="G45" s="45"/>
      <c r="H45" s="45"/>
    </row>
    <row r="46" spans="1:8" ht="16.5" thickBot="1">
      <c r="A46" s="35">
        <v>4</v>
      </c>
      <c r="B46" s="42" t="s">
        <v>193</v>
      </c>
      <c r="C46" s="43" t="s">
        <v>99</v>
      </c>
      <c r="D46" s="43" t="s">
        <v>757</v>
      </c>
      <c r="E46" s="43" t="s">
        <v>738</v>
      </c>
      <c r="F46" s="280">
        <v>265300.54</v>
      </c>
      <c r="G46" s="45"/>
      <c r="H46" s="45"/>
    </row>
    <row r="47" spans="1:8" ht="16.5" thickBot="1">
      <c r="A47" s="35">
        <v>5</v>
      </c>
      <c r="B47" s="42" t="s">
        <v>195</v>
      </c>
      <c r="C47" s="43" t="s">
        <v>99</v>
      </c>
      <c r="D47" s="43" t="s">
        <v>757</v>
      </c>
      <c r="E47" s="43" t="s">
        <v>738</v>
      </c>
      <c r="F47" s="280">
        <v>276061.22</v>
      </c>
      <c r="G47" s="45"/>
      <c r="H47" s="45"/>
    </row>
    <row r="48" spans="1:8" ht="16.5" thickBot="1">
      <c r="A48" s="35">
        <v>6</v>
      </c>
      <c r="B48" s="42" t="s">
        <v>196</v>
      </c>
      <c r="C48" s="43" t="s">
        <v>99</v>
      </c>
      <c r="D48" s="43" t="s">
        <v>757</v>
      </c>
      <c r="E48" s="43" t="s">
        <v>738</v>
      </c>
      <c r="F48" s="280">
        <v>225553.18</v>
      </c>
      <c r="G48" s="45"/>
      <c r="H48" s="45"/>
    </row>
    <row r="49" spans="1:8" ht="16.5" thickBot="1">
      <c r="A49" s="35">
        <v>7</v>
      </c>
      <c r="B49" s="42" t="s">
        <v>197</v>
      </c>
      <c r="C49" s="43" t="s">
        <v>99</v>
      </c>
      <c r="D49" s="43" t="s">
        <v>757</v>
      </c>
      <c r="E49" s="43" t="s">
        <v>738</v>
      </c>
      <c r="F49" s="280">
        <v>234843.62</v>
      </c>
      <c r="G49" s="45"/>
      <c r="H49" s="45"/>
    </row>
    <row r="50" spans="1:8" ht="16.5" thickBot="1">
      <c r="A50" s="42"/>
      <c r="B50" s="329" t="s">
        <v>198</v>
      </c>
      <c r="C50" s="330"/>
      <c r="D50" s="331"/>
      <c r="E50" s="330"/>
      <c r="F50" s="333">
        <f>SUM(F43:F49)</f>
        <v>1965201.04</v>
      </c>
      <c r="G50" s="332">
        <f>SUM(G43:G49)</f>
        <v>0</v>
      </c>
      <c r="H50" s="332">
        <f>SUM(H43:H49)</f>
        <v>0</v>
      </c>
    </row>
    <row r="53" spans="1:8" ht="15.75">
      <c r="A53" s="4"/>
      <c r="B53" s="4"/>
      <c r="C53" s="1"/>
      <c r="D53" s="2"/>
      <c r="E53" s="2"/>
      <c r="H53" s="38" t="s">
        <v>758</v>
      </c>
    </row>
    <row r="54" spans="1:8" ht="81.75" customHeight="1" thickBot="1">
      <c r="A54" s="560" t="s">
        <v>1297</v>
      </c>
      <c r="B54" s="560"/>
      <c r="C54" s="560"/>
      <c r="D54" s="560"/>
      <c r="E54" s="560"/>
      <c r="F54" s="560"/>
      <c r="G54" s="560"/>
      <c r="H54" s="560"/>
    </row>
    <row r="55" spans="1:8" ht="12.75" customHeight="1">
      <c r="A55" s="561" t="s">
        <v>233</v>
      </c>
      <c r="B55" s="561" t="s">
        <v>234</v>
      </c>
      <c r="C55" s="561" t="s">
        <v>287</v>
      </c>
      <c r="D55" s="561" t="s">
        <v>311</v>
      </c>
      <c r="E55" s="561" t="s">
        <v>317</v>
      </c>
      <c r="F55" s="190" t="s">
        <v>640</v>
      </c>
      <c r="G55" s="561" t="s">
        <v>641</v>
      </c>
      <c r="H55" s="561" t="s">
        <v>642</v>
      </c>
    </row>
    <row r="56" spans="1:8" ht="21" customHeight="1" thickBot="1">
      <c r="A56" s="562"/>
      <c r="B56" s="562"/>
      <c r="C56" s="562"/>
      <c r="D56" s="562"/>
      <c r="E56" s="562"/>
      <c r="F56" s="37"/>
      <c r="G56" s="562"/>
      <c r="H56" s="562"/>
    </row>
    <row r="57" spans="1:8" ht="13.5" thickBot="1">
      <c r="A57" s="41" t="s">
        <v>153</v>
      </c>
      <c r="B57" s="557" t="s">
        <v>154</v>
      </c>
      <c r="C57" s="558"/>
      <c r="D57" s="558"/>
      <c r="E57" s="558"/>
      <c r="F57" s="558"/>
      <c r="G57" s="558"/>
      <c r="H57" s="559"/>
    </row>
    <row r="58" spans="1:10" ht="16.5" thickBot="1">
      <c r="A58" s="35">
        <v>1</v>
      </c>
      <c r="B58" s="42" t="s">
        <v>190</v>
      </c>
      <c r="C58" s="43" t="s">
        <v>646</v>
      </c>
      <c r="D58" s="43" t="s">
        <v>759</v>
      </c>
      <c r="E58" s="43" t="s">
        <v>738</v>
      </c>
      <c r="F58" s="147">
        <v>133980</v>
      </c>
      <c r="G58" s="45"/>
      <c r="H58" s="45"/>
      <c r="J58" s="271"/>
    </row>
    <row r="59" spans="1:10" ht="16.5" thickBot="1">
      <c r="A59" s="35">
        <v>2</v>
      </c>
      <c r="B59" s="42" t="s">
        <v>191</v>
      </c>
      <c r="C59" s="43" t="s">
        <v>646</v>
      </c>
      <c r="D59" s="43" t="s">
        <v>759</v>
      </c>
      <c r="E59" s="43" t="s">
        <v>738</v>
      </c>
      <c r="F59" s="148">
        <v>74448</v>
      </c>
      <c r="G59" s="45"/>
      <c r="H59" s="45"/>
      <c r="J59" s="271"/>
    </row>
    <row r="60" spans="1:10" ht="16.5" thickBot="1">
      <c r="A60" s="35">
        <v>3</v>
      </c>
      <c r="B60" s="42" t="s">
        <v>192</v>
      </c>
      <c r="C60" s="43" t="s">
        <v>646</v>
      </c>
      <c r="D60" s="43" t="s">
        <v>759</v>
      </c>
      <c r="E60" s="43" t="s">
        <v>738</v>
      </c>
      <c r="F60" s="148">
        <v>228228</v>
      </c>
      <c r="G60" s="45"/>
      <c r="H60" s="45"/>
      <c r="J60" s="271"/>
    </row>
    <row r="61" spans="1:10" ht="16.5" thickBot="1">
      <c r="A61" s="35">
        <v>4</v>
      </c>
      <c r="B61" s="42" t="s">
        <v>193</v>
      </c>
      <c r="C61" s="43" t="s">
        <v>646</v>
      </c>
      <c r="D61" s="43" t="s">
        <v>759</v>
      </c>
      <c r="E61" s="43" t="s">
        <v>738</v>
      </c>
      <c r="F61" s="148">
        <v>124080</v>
      </c>
      <c r="G61" s="45"/>
      <c r="H61" s="45"/>
      <c r="J61" s="271"/>
    </row>
    <row r="62" spans="1:10" ht="16.5" thickBot="1">
      <c r="A62" s="35">
        <v>5</v>
      </c>
      <c r="B62" s="42" t="s">
        <v>195</v>
      </c>
      <c r="C62" s="43" t="s">
        <v>646</v>
      </c>
      <c r="D62" s="43" t="s">
        <v>759</v>
      </c>
      <c r="E62" s="43" t="s">
        <v>738</v>
      </c>
      <c r="F62" s="148">
        <v>401940</v>
      </c>
      <c r="G62" s="45"/>
      <c r="H62" s="45"/>
      <c r="J62" s="271"/>
    </row>
    <row r="63" spans="1:10" ht="16.5" thickBot="1">
      <c r="A63" s="35">
        <v>6</v>
      </c>
      <c r="B63" s="42" t="s">
        <v>196</v>
      </c>
      <c r="C63" s="43" t="s">
        <v>646</v>
      </c>
      <c r="D63" s="43" t="s">
        <v>759</v>
      </c>
      <c r="E63" s="43" t="s">
        <v>738</v>
      </c>
      <c r="F63" s="148">
        <v>109164</v>
      </c>
      <c r="G63" s="45"/>
      <c r="H63" s="45"/>
      <c r="J63" s="271"/>
    </row>
    <row r="64" spans="1:10" ht="16.5" thickBot="1">
      <c r="A64" s="35">
        <v>7</v>
      </c>
      <c r="B64" s="42" t="s">
        <v>197</v>
      </c>
      <c r="C64" s="43" t="s">
        <v>646</v>
      </c>
      <c r="D64" s="43" t="s">
        <v>759</v>
      </c>
      <c r="E64" s="43" t="s">
        <v>738</v>
      </c>
      <c r="F64" s="148">
        <v>248160</v>
      </c>
      <c r="G64" s="45"/>
      <c r="H64" s="45"/>
      <c r="J64" s="271"/>
    </row>
    <row r="65" spans="1:8" ht="16.5" thickBot="1">
      <c r="A65" s="42"/>
      <c r="B65" s="329" t="s">
        <v>198</v>
      </c>
      <c r="C65" s="330"/>
      <c r="D65" s="331"/>
      <c r="E65" s="330"/>
      <c r="F65" s="332">
        <f>SUM(F58:F64)</f>
        <v>1320000</v>
      </c>
      <c r="G65" s="332">
        <f>SUM(G58:G64)</f>
        <v>0</v>
      </c>
      <c r="H65" s="332">
        <f>SUM(H58:H64)</f>
        <v>0</v>
      </c>
    </row>
  </sheetData>
  <sheetProtection/>
  <mergeCells count="35">
    <mergeCell ref="B57:H57"/>
    <mergeCell ref="B42:H42"/>
    <mergeCell ref="A54:H54"/>
    <mergeCell ref="A55:A56"/>
    <mergeCell ref="B55:B56"/>
    <mergeCell ref="C55:C56"/>
    <mergeCell ref="D55:D56"/>
    <mergeCell ref="E55:E56"/>
    <mergeCell ref="G55:G56"/>
    <mergeCell ref="H55:H56"/>
    <mergeCell ref="A39:H39"/>
    <mergeCell ref="A40:A41"/>
    <mergeCell ref="B40:B41"/>
    <mergeCell ref="C40:C41"/>
    <mergeCell ref="D40:D41"/>
    <mergeCell ref="E40:E41"/>
    <mergeCell ref="G40:G41"/>
    <mergeCell ref="H40:H41"/>
    <mergeCell ref="B25:H25"/>
    <mergeCell ref="A22:H22"/>
    <mergeCell ref="A23:A24"/>
    <mergeCell ref="B23:B24"/>
    <mergeCell ref="C23:C24"/>
    <mergeCell ref="D23:D24"/>
    <mergeCell ref="E23:E24"/>
    <mergeCell ref="G23:G24"/>
    <mergeCell ref="H23:H24"/>
    <mergeCell ref="B9:H9"/>
    <mergeCell ref="A6:H6"/>
    <mergeCell ref="A7:A8"/>
    <mergeCell ref="B7:B8"/>
    <mergeCell ref="C7:C8"/>
    <mergeCell ref="D7:D8"/>
    <mergeCell ref="E7:E8"/>
    <mergeCell ref="F7:H7"/>
  </mergeCells>
  <printOptions/>
  <pageMargins left="0.75" right="0.49" top="1" bottom="1" header="0.5" footer="0.5"/>
  <pageSetup fitToHeight="0" fitToWidth="1" horizontalDpi="600" verticalDpi="600" orientation="portrait" paperSize="9" scale="86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521" t="s">
        <v>690</v>
      </c>
      <c r="D1" s="521"/>
    </row>
    <row r="2" spans="1:4" ht="15.75">
      <c r="A2" s="521" t="s">
        <v>149</v>
      </c>
      <c r="B2" s="521"/>
      <c r="C2" s="521"/>
      <c r="D2" s="521"/>
    </row>
    <row r="3" spans="2:4" ht="15.75">
      <c r="B3" s="521" t="s">
        <v>1441</v>
      </c>
      <c r="C3" s="521"/>
      <c r="D3" s="521"/>
    </row>
    <row r="4" spans="1:2" ht="15.75">
      <c r="A4" s="3"/>
      <c r="B4" s="4"/>
    </row>
    <row r="5" spans="1:4" ht="37.5" customHeight="1">
      <c r="A5" s="534" t="s">
        <v>1298</v>
      </c>
      <c r="B5" s="534"/>
      <c r="C5" s="534"/>
      <c r="D5" s="534"/>
    </row>
    <row r="6" spans="1:4" ht="16.5" thickBot="1">
      <c r="A6" s="576"/>
      <c r="B6" s="566"/>
      <c r="C6" s="566"/>
      <c r="D6" s="566"/>
    </row>
    <row r="7" spans="1:4" ht="15.75" customHeight="1">
      <c r="A7" s="573" t="s">
        <v>150</v>
      </c>
      <c r="B7" s="567" t="s">
        <v>209</v>
      </c>
      <c r="C7" s="568"/>
      <c r="D7" s="569"/>
    </row>
    <row r="8" spans="1:4" ht="13.5" thickBot="1">
      <c r="A8" s="574"/>
      <c r="B8" s="570"/>
      <c r="C8" s="571"/>
      <c r="D8" s="572"/>
    </row>
    <row r="9" spans="1:4" ht="16.5" thickBot="1">
      <c r="A9" s="575"/>
      <c r="B9" s="118" t="s">
        <v>640</v>
      </c>
      <c r="C9" s="118" t="s">
        <v>641</v>
      </c>
      <c r="D9" s="118" t="s">
        <v>642</v>
      </c>
    </row>
    <row r="10" spans="1:4" ht="38.25" customHeight="1" thickBot="1">
      <c r="A10" s="50" t="s">
        <v>3</v>
      </c>
      <c r="B10" s="119">
        <v>0</v>
      </c>
      <c r="C10" s="119">
        <v>0</v>
      </c>
      <c r="D10" s="119">
        <v>0</v>
      </c>
    </row>
    <row r="11" spans="1:4" ht="32.25" thickBot="1">
      <c r="A11" s="46" t="s">
        <v>299</v>
      </c>
      <c r="B11" s="113">
        <v>0</v>
      </c>
      <c r="C11" s="113">
        <v>0</v>
      </c>
      <c r="D11" s="113">
        <v>0</v>
      </c>
    </row>
    <row r="12" spans="1:4" ht="16.5" thickBot="1">
      <c r="A12" s="46" t="s">
        <v>30</v>
      </c>
      <c r="B12" s="114">
        <v>0</v>
      </c>
      <c r="C12" s="114">
        <v>0</v>
      </c>
      <c r="D12" s="114">
        <v>0</v>
      </c>
    </row>
    <row r="13" spans="1:4" ht="16.5" thickBot="1">
      <c r="A13" s="47" t="s">
        <v>31</v>
      </c>
      <c r="B13" s="114">
        <v>0</v>
      </c>
      <c r="C13" s="114">
        <v>0</v>
      </c>
      <c r="D13" s="114">
        <v>0</v>
      </c>
    </row>
    <row r="14" spans="1:4" ht="16.5" thickBot="1">
      <c r="A14" s="48" t="s">
        <v>32</v>
      </c>
      <c r="B14" s="115">
        <v>0</v>
      </c>
      <c r="C14" s="115">
        <v>0</v>
      </c>
      <c r="D14" s="115">
        <v>0</v>
      </c>
    </row>
    <row r="15" spans="1:4" ht="16.5" thickBot="1">
      <c r="A15" s="112" t="s">
        <v>30</v>
      </c>
      <c r="B15" s="116">
        <v>0</v>
      </c>
      <c r="C15" s="116">
        <v>0</v>
      </c>
      <c r="D15" s="116">
        <v>0</v>
      </c>
    </row>
    <row r="16" spans="1:4" ht="16.5" thickBot="1">
      <c r="A16" s="49" t="s">
        <v>33</v>
      </c>
      <c r="B16" s="115">
        <v>0</v>
      </c>
      <c r="C16" s="115">
        <v>0</v>
      </c>
      <c r="D16" s="115">
        <v>0</v>
      </c>
    </row>
    <row r="17" spans="1:4" ht="32.25" thickBot="1">
      <c r="A17" s="112" t="s">
        <v>34</v>
      </c>
      <c r="B17" s="116">
        <v>0</v>
      </c>
      <c r="C17" s="116">
        <v>0</v>
      </c>
      <c r="D17" s="116">
        <v>0</v>
      </c>
    </row>
    <row r="18" spans="1:4" ht="32.25" thickBot="1">
      <c r="A18" s="46" t="s">
        <v>35</v>
      </c>
      <c r="B18" s="117">
        <v>0</v>
      </c>
      <c r="C18" s="117">
        <v>0</v>
      </c>
      <c r="D18" s="117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61">
      <selection activeCell="B13" sqref="B13:K13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5.75">
      <c r="B1" s="51"/>
      <c r="C1" s="51"/>
      <c r="D1" s="51"/>
      <c r="E1" s="51"/>
      <c r="F1" s="521" t="s">
        <v>691</v>
      </c>
      <c r="G1" s="521"/>
      <c r="H1" s="521"/>
      <c r="I1" s="521"/>
      <c r="J1" s="521"/>
      <c r="K1" s="521"/>
    </row>
    <row r="2" spans="2:11" ht="15.75">
      <c r="B2" s="51"/>
      <c r="C2" s="51"/>
      <c r="D2" s="51"/>
      <c r="E2" s="51"/>
      <c r="F2" s="40"/>
      <c r="G2" s="40"/>
      <c r="H2" s="40"/>
      <c r="I2" s="38"/>
      <c r="J2" s="38"/>
      <c r="K2" s="38" t="s">
        <v>149</v>
      </c>
    </row>
    <row r="3" spans="2:11" ht="15.75">
      <c r="B3" s="51"/>
      <c r="C3" s="51"/>
      <c r="D3" s="51"/>
      <c r="E3" s="51"/>
      <c r="F3" s="40"/>
      <c r="G3" s="40"/>
      <c r="H3" s="40"/>
      <c r="I3" s="38"/>
      <c r="J3" s="38"/>
      <c r="K3" s="38" t="s">
        <v>1441</v>
      </c>
    </row>
    <row r="4" spans="2:11" ht="14.25">
      <c r="B4" s="51"/>
      <c r="C4" s="51"/>
      <c r="D4" s="51"/>
      <c r="E4" s="51"/>
      <c r="F4" s="53"/>
      <c r="G4" s="53"/>
      <c r="H4" s="53"/>
      <c r="I4" s="52"/>
      <c r="J4" s="52"/>
      <c r="K4" s="52"/>
    </row>
    <row r="5" spans="2:11" ht="14.25">
      <c r="B5" s="51"/>
      <c r="C5" s="51"/>
      <c r="D5" s="51"/>
      <c r="E5" s="51"/>
      <c r="F5" s="53"/>
      <c r="G5" s="53"/>
      <c r="H5" s="53"/>
      <c r="I5" s="52"/>
      <c r="J5" s="52"/>
      <c r="K5" s="52"/>
    </row>
    <row r="6" spans="2:11" ht="35.25" customHeight="1">
      <c r="B6" s="585" t="s">
        <v>1299</v>
      </c>
      <c r="C6" s="585"/>
      <c r="D6" s="585"/>
      <c r="E6" s="585"/>
      <c r="F6" s="585"/>
      <c r="G6" s="585"/>
      <c r="H6" s="585"/>
      <c r="I6" s="585"/>
      <c r="J6" s="585"/>
      <c r="K6" s="585"/>
    </row>
    <row r="7" spans="2:11" ht="31.5" customHeight="1">
      <c r="B7" s="606" t="s">
        <v>1300</v>
      </c>
      <c r="C7" s="606"/>
      <c r="D7" s="606"/>
      <c r="E7" s="606"/>
      <c r="F7" s="606"/>
      <c r="G7" s="606"/>
      <c r="H7" s="606"/>
      <c r="I7" s="606"/>
      <c r="J7" s="606"/>
      <c r="K7" s="606"/>
    </row>
    <row r="8" spans="2:11" ht="15.75" thickBot="1"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2:11" ht="15.75" customHeight="1" thickBot="1">
      <c r="B9" s="612" t="s">
        <v>233</v>
      </c>
      <c r="C9" s="612" t="s">
        <v>36</v>
      </c>
      <c r="D9" s="612" t="s">
        <v>65</v>
      </c>
      <c r="E9" s="607" t="s">
        <v>563</v>
      </c>
      <c r="F9" s="608"/>
      <c r="G9" s="608"/>
      <c r="H9" s="609"/>
      <c r="I9" s="612" t="s">
        <v>308</v>
      </c>
      <c r="J9" s="612" t="s">
        <v>309</v>
      </c>
      <c r="K9" s="612" t="s">
        <v>310</v>
      </c>
    </row>
    <row r="10" spans="2:11" ht="64.5" customHeight="1" thickBot="1">
      <c r="B10" s="613"/>
      <c r="C10" s="613"/>
      <c r="D10" s="614"/>
      <c r="E10" s="131" t="s">
        <v>639</v>
      </c>
      <c r="F10" s="129" t="s">
        <v>640</v>
      </c>
      <c r="G10" s="129" t="s">
        <v>641</v>
      </c>
      <c r="H10" s="129" t="s">
        <v>642</v>
      </c>
      <c r="I10" s="615"/>
      <c r="J10" s="613"/>
      <c r="K10" s="613"/>
    </row>
    <row r="11" spans="2:11" ht="21" customHeight="1" thickBot="1">
      <c r="B11" s="602" t="s">
        <v>1301</v>
      </c>
      <c r="C11" s="603"/>
      <c r="D11" s="603"/>
      <c r="E11" s="604"/>
      <c r="F11" s="604"/>
      <c r="G11" s="604"/>
      <c r="H11" s="604"/>
      <c r="I11" s="603"/>
      <c r="J11" s="603"/>
      <c r="K11" s="605"/>
    </row>
    <row r="12" spans="2:11" ht="15"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2:11" ht="55.5" customHeight="1">
      <c r="B13" s="606" t="s">
        <v>1302</v>
      </c>
      <c r="C13" s="606"/>
      <c r="D13" s="606"/>
      <c r="E13" s="606"/>
      <c r="F13" s="606"/>
      <c r="G13" s="606"/>
      <c r="H13" s="606"/>
      <c r="I13" s="606"/>
      <c r="J13" s="606"/>
      <c r="K13" s="606"/>
    </row>
    <row r="14" spans="2:11" ht="15.75" thickBot="1"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2:11" ht="51" customHeight="1" thickBot="1">
      <c r="B15" s="597" t="s">
        <v>235</v>
      </c>
      <c r="C15" s="597"/>
      <c r="D15" s="597"/>
      <c r="E15" s="597"/>
      <c r="F15" s="597" t="s">
        <v>561</v>
      </c>
      <c r="G15" s="597"/>
      <c r="H15" s="597"/>
      <c r="I15" s="597"/>
      <c r="J15" s="597"/>
      <c r="K15" s="597"/>
    </row>
    <row r="16" spans="2:11" ht="15.75" customHeight="1" thickBot="1">
      <c r="B16" s="597"/>
      <c r="C16" s="597"/>
      <c r="D16" s="597"/>
      <c r="E16" s="597"/>
      <c r="F16" s="107" t="s">
        <v>640</v>
      </c>
      <c r="G16" s="107" t="s">
        <v>641</v>
      </c>
      <c r="H16" s="107" t="s">
        <v>642</v>
      </c>
      <c r="I16" s="107" t="s">
        <v>877</v>
      </c>
      <c r="J16" s="107" t="s">
        <v>1046</v>
      </c>
      <c r="K16" s="107" t="s">
        <v>1303</v>
      </c>
    </row>
    <row r="17" spans="2:11" ht="49.5" customHeight="1" thickBot="1">
      <c r="B17" s="596" t="s">
        <v>28</v>
      </c>
      <c r="C17" s="596"/>
      <c r="D17" s="596"/>
      <c r="E17" s="596"/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</row>
    <row r="18" spans="2:11" ht="15">
      <c r="B18" s="56"/>
      <c r="C18" s="55"/>
      <c r="D18" s="55"/>
      <c r="E18" s="55"/>
      <c r="F18" s="55"/>
      <c r="G18" s="55"/>
      <c r="H18" s="55"/>
      <c r="I18" s="55"/>
      <c r="J18" s="55"/>
      <c r="K18" s="55"/>
    </row>
    <row r="19" spans="2:11" ht="32.25" customHeight="1">
      <c r="B19" s="585" t="s">
        <v>1304</v>
      </c>
      <c r="C19" s="585"/>
      <c r="D19" s="585"/>
      <c r="E19" s="585"/>
      <c r="F19" s="585"/>
      <c r="G19" s="585"/>
      <c r="H19" s="585"/>
      <c r="I19" s="585"/>
      <c r="J19" s="585"/>
      <c r="K19" s="585"/>
    </row>
    <row r="20" spans="2:11" ht="15.75" thickBot="1">
      <c r="B20" s="57"/>
      <c r="C20" s="18"/>
      <c r="D20" s="18"/>
      <c r="E20" s="18"/>
      <c r="F20" s="18"/>
      <c r="G20" s="18"/>
      <c r="H20" s="18"/>
      <c r="I20" s="18"/>
      <c r="J20" s="18"/>
      <c r="K20" s="33"/>
    </row>
    <row r="21" spans="2:11" ht="15.75" thickBot="1">
      <c r="B21" s="597" t="s">
        <v>150</v>
      </c>
      <c r="C21" s="597"/>
      <c r="D21" s="597"/>
      <c r="E21" s="597"/>
      <c r="F21" s="597" t="s">
        <v>209</v>
      </c>
      <c r="G21" s="597"/>
      <c r="H21" s="597"/>
      <c r="I21" s="597"/>
      <c r="J21" s="597"/>
      <c r="K21" s="597"/>
    </row>
    <row r="22" spans="2:11" ht="15.75" thickBot="1">
      <c r="B22" s="597"/>
      <c r="C22" s="597"/>
      <c r="D22" s="597"/>
      <c r="E22" s="597"/>
      <c r="F22" s="108" t="s">
        <v>640</v>
      </c>
      <c r="G22" s="108" t="s">
        <v>641</v>
      </c>
      <c r="H22" s="108" t="s">
        <v>642</v>
      </c>
      <c r="I22" s="599"/>
      <c r="J22" s="600"/>
      <c r="K22" s="601"/>
    </row>
    <row r="23" spans="2:11" ht="32.25" customHeight="1" thickBot="1">
      <c r="B23" s="598" t="s">
        <v>562</v>
      </c>
      <c r="C23" s="598"/>
      <c r="D23" s="598"/>
      <c r="E23" s="598"/>
      <c r="F23" s="110"/>
      <c r="G23" s="110"/>
      <c r="H23" s="110"/>
      <c r="I23" s="588">
        <v>0</v>
      </c>
      <c r="J23" s="589"/>
      <c r="K23" s="590"/>
    </row>
    <row r="24" spans="2:11" ht="15.75" thickBot="1">
      <c r="B24" s="595" t="s">
        <v>290</v>
      </c>
      <c r="C24" s="595"/>
      <c r="D24" s="595"/>
      <c r="E24" s="595"/>
      <c r="F24" s="109"/>
      <c r="G24" s="109"/>
      <c r="H24" s="109"/>
      <c r="I24" s="591">
        <v>0</v>
      </c>
      <c r="J24" s="592"/>
      <c r="K24" s="593"/>
    </row>
    <row r="25" spans="2:11" ht="15.75" thickBot="1">
      <c r="B25" s="595" t="s">
        <v>33</v>
      </c>
      <c r="C25" s="595"/>
      <c r="D25" s="595"/>
      <c r="E25" s="595"/>
      <c r="F25" s="109"/>
      <c r="G25" s="109"/>
      <c r="H25" s="109"/>
      <c r="I25" s="591">
        <v>0</v>
      </c>
      <c r="J25" s="592"/>
      <c r="K25" s="593"/>
    </row>
    <row r="26" spans="2:11" ht="45" customHeight="1" thickBot="1">
      <c r="B26" s="594" t="s">
        <v>83</v>
      </c>
      <c r="C26" s="594"/>
      <c r="D26" s="594"/>
      <c r="E26" s="594"/>
      <c r="F26" s="110"/>
      <c r="G26" s="110"/>
      <c r="H26" s="110"/>
      <c r="I26" s="588">
        <v>0</v>
      </c>
      <c r="J26" s="589"/>
      <c r="K26" s="590"/>
    </row>
    <row r="27" spans="2:11" ht="15.75" thickBot="1">
      <c r="B27" s="602" t="s">
        <v>290</v>
      </c>
      <c r="C27" s="610"/>
      <c r="D27" s="610"/>
      <c r="E27" s="611"/>
      <c r="F27" s="106"/>
      <c r="G27" s="106"/>
      <c r="H27" s="106"/>
      <c r="I27" s="591">
        <v>0</v>
      </c>
      <c r="J27" s="592"/>
      <c r="K27" s="593"/>
    </row>
    <row r="28" spans="2:11" ht="15.75" thickBot="1">
      <c r="B28" s="596" t="s">
        <v>33</v>
      </c>
      <c r="C28" s="596"/>
      <c r="D28" s="596"/>
      <c r="E28" s="596"/>
      <c r="F28" s="109"/>
      <c r="G28" s="109"/>
      <c r="H28" s="109"/>
      <c r="I28" s="591">
        <v>0</v>
      </c>
      <c r="J28" s="592"/>
      <c r="K28" s="593"/>
    </row>
    <row r="29" spans="2:11" ht="15" thickBot="1">
      <c r="B29" s="594" t="s">
        <v>84</v>
      </c>
      <c r="C29" s="594"/>
      <c r="D29" s="594"/>
      <c r="E29" s="594"/>
      <c r="F29" s="110"/>
      <c r="G29" s="110"/>
      <c r="H29" s="110"/>
      <c r="I29" s="588">
        <v>0</v>
      </c>
      <c r="J29" s="589"/>
      <c r="K29" s="590"/>
    </row>
    <row r="30" spans="2:11" ht="15.75" thickBot="1">
      <c r="B30" s="595" t="s">
        <v>290</v>
      </c>
      <c r="C30" s="595"/>
      <c r="D30" s="595"/>
      <c r="E30" s="595"/>
      <c r="F30" s="109"/>
      <c r="G30" s="109"/>
      <c r="H30" s="109"/>
      <c r="I30" s="591">
        <v>0</v>
      </c>
      <c r="J30" s="592"/>
      <c r="K30" s="593"/>
    </row>
    <row r="31" spans="2:11" ht="15.75" thickBot="1">
      <c r="B31" s="595" t="s">
        <v>33</v>
      </c>
      <c r="C31" s="595"/>
      <c r="D31" s="595"/>
      <c r="E31" s="595"/>
      <c r="F31" s="109"/>
      <c r="G31" s="109"/>
      <c r="H31" s="109"/>
      <c r="I31" s="591">
        <v>0</v>
      </c>
      <c r="J31" s="592"/>
      <c r="K31" s="593"/>
    </row>
    <row r="32" spans="2:11" ht="45.75" customHeight="1" thickBot="1">
      <c r="B32" s="594" t="s">
        <v>242</v>
      </c>
      <c r="C32" s="594"/>
      <c r="D32" s="594"/>
      <c r="E32" s="594"/>
      <c r="F32" s="110"/>
      <c r="G32" s="110"/>
      <c r="H32" s="110"/>
      <c r="I32" s="588">
        <v>0</v>
      </c>
      <c r="J32" s="589"/>
      <c r="K32" s="590"/>
    </row>
    <row r="33" spans="2:11" ht="46.5" customHeight="1" thickBot="1">
      <c r="B33" s="595" t="s">
        <v>225</v>
      </c>
      <c r="C33" s="595"/>
      <c r="D33" s="595"/>
      <c r="E33" s="595"/>
      <c r="F33" s="109"/>
      <c r="G33" s="109"/>
      <c r="H33" s="109"/>
      <c r="I33" s="591">
        <v>0</v>
      </c>
      <c r="J33" s="592"/>
      <c r="K33" s="593"/>
    </row>
    <row r="34" spans="2:11" ht="15">
      <c r="B34" s="51"/>
      <c r="C34" s="51"/>
      <c r="D34" s="51"/>
      <c r="E34" s="51"/>
      <c r="F34" s="18"/>
      <c r="G34" s="18"/>
      <c r="H34" s="18"/>
      <c r="I34" s="18"/>
      <c r="J34" s="18"/>
      <c r="K34" s="18"/>
    </row>
    <row r="35" spans="2:11" ht="30.75" customHeight="1">
      <c r="B35" s="585" t="s">
        <v>878</v>
      </c>
      <c r="C35" s="585"/>
      <c r="D35" s="585"/>
      <c r="E35" s="585"/>
      <c r="F35" s="585"/>
      <c r="G35" s="585"/>
      <c r="H35" s="585"/>
      <c r="I35" s="585"/>
      <c r="J35" s="585"/>
      <c r="K35" s="585"/>
    </row>
    <row r="36" spans="2:11" ht="35.25" customHeight="1" thickBot="1">
      <c r="B36" s="586" t="s">
        <v>879</v>
      </c>
      <c r="C36" s="586"/>
      <c r="D36" s="586"/>
      <c r="E36" s="586"/>
      <c r="F36" s="586"/>
      <c r="G36" s="586"/>
      <c r="H36" s="586"/>
      <c r="I36" s="586"/>
      <c r="J36" s="586"/>
      <c r="K36" s="586"/>
    </row>
    <row r="37" spans="2:11" ht="62.25" customHeight="1" thickBot="1">
      <c r="B37" s="587" t="s">
        <v>565</v>
      </c>
      <c r="C37" s="587"/>
      <c r="D37" s="587"/>
      <c r="E37" s="587"/>
      <c r="F37" s="587" t="s">
        <v>564</v>
      </c>
      <c r="G37" s="587"/>
      <c r="H37" s="587"/>
      <c r="I37" s="587"/>
      <c r="J37" s="587"/>
      <c r="K37" s="587"/>
    </row>
    <row r="38" spans="2:11" ht="15.75" thickBot="1">
      <c r="B38" s="579" t="s">
        <v>643</v>
      </c>
      <c r="C38" s="579"/>
      <c r="D38" s="579"/>
      <c r="E38" s="111">
        <v>0</v>
      </c>
      <c r="F38" s="579" t="s">
        <v>643</v>
      </c>
      <c r="G38" s="579"/>
      <c r="H38" s="579"/>
      <c r="I38" s="579"/>
      <c r="J38" s="578">
        <v>0</v>
      </c>
      <c r="K38" s="578"/>
    </row>
    <row r="39" spans="2:11" ht="15.75" thickBot="1">
      <c r="B39" s="581"/>
      <c r="C39" s="581"/>
      <c r="D39" s="581"/>
      <c r="E39" s="111"/>
      <c r="F39" s="577"/>
      <c r="G39" s="577"/>
      <c r="H39" s="577"/>
      <c r="I39" s="577"/>
      <c r="J39" s="578"/>
      <c r="K39" s="578"/>
    </row>
    <row r="40" spans="2:11" ht="30" customHeight="1" thickBot="1">
      <c r="B40" s="579" t="s">
        <v>880</v>
      </c>
      <c r="C40" s="579"/>
      <c r="D40" s="579"/>
      <c r="E40" s="111">
        <v>0</v>
      </c>
      <c r="F40" s="579" t="s">
        <v>880</v>
      </c>
      <c r="G40" s="579"/>
      <c r="H40" s="579"/>
      <c r="I40" s="579"/>
      <c r="J40" s="578">
        <v>0</v>
      </c>
      <c r="K40" s="578"/>
    </row>
    <row r="41" spans="2:11" ht="15.75" thickBot="1">
      <c r="B41" s="580" t="s">
        <v>210</v>
      </c>
      <c r="C41" s="580"/>
      <c r="D41" s="580"/>
      <c r="E41" s="111"/>
      <c r="F41" s="580" t="s">
        <v>210</v>
      </c>
      <c r="G41" s="580"/>
      <c r="H41" s="580"/>
      <c r="I41" s="580"/>
      <c r="J41" s="578"/>
      <c r="K41" s="578"/>
    </row>
    <row r="42" spans="2:11" ht="15.75" thickBot="1">
      <c r="B42" s="580" t="s">
        <v>211</v>
      </c>
      <c r="C42" s="580"/>
      <c r="D42" s="580"/>
      <c r="E42" s="111">
        <v>0</v>
      </c>
      <c r="F42" s="577"/>
      <c r="G42" s="577"/>
      <c r="H42" s="577"/>
      <c r="I42" s="577"/>
      <c r="J42" s="578"/>
      <c r="K42" s="578"/>
    </row>
    <row r="43" spans="2:11" ht="18.75" customHeight="1" thickBot="1">
      <c r="B43" s="580" t="s">
        <v>120</v>
      </c>
      <c r="C43" s="580"/>
      <c r="D43" s="580"/>
      <c r="E43" s="111">
        <v>0</v>
      </c>
      <c r="F43" s="580" t="s">
        <v>120</v>
      </c>
      <c r="G43" s="580"/>
      <c r="H43" s="580"/>
      <c r="I43" s="580"/>
      <c r="J43" s="578">
        <v>0</v>
      </c>
      <c r="K43" s="578"/>
    </row>
    <row r="44" spans="2:11" ht="15.75" thickBot="1">
      <c r="B44" s="577"/>
      <c r="C44" s="577"/>
      <c r="D44" s="577"/>
      <c r="E44" s="111"/>
      <c r="F44" s="577"/>
      <c r="G44" s="577"/>
      <c r="H44" s="577"/>
      <c r="I44" s="577"/>
      <c r="J44" s="578"/>
      <c r="K44" s="578"/>
    </row>
    <row r="45" spans="2:11" ht="29.25" customHeight="1" thickBot="1">
      <c r="B45" s="579" t="s">
        <v>881</v>
      </c>
      <c r="C45" s="579"/>
      <c r="D45" s="579"/>
      <c r="E45" s="111">
        <v>0</v>
      </c>
      <c r="F45" s="579" t="s">
        <v>881</v>
      </c>
      <c r="G45" s="579"/>
      <c r="H45" s="579"/>
      <c r="I45" s="579"/>
      <c r="J45" s="578">
        <v>0</v>
      </c>
      <c r="K45" s="578"/>
    </row>
    <row r="46" spans="2:11" ht="15.75" thickBot="1">
      <c r="B46" s="580" t="s">
        <v>210</v>
      </c>
      <c r="C46" s="580"/>
      <c r="D46" s="580"/>
      <c r="E46" s="111"/>
      <c r="F46" s="580" t="s">
        <v>210</v>
      </c>
      <c r="G46" s="580"/>
      <c r="H46" s="580"/>
      <c r="I46" s="580"/>
      <c r="J46" s="578"/>
      <c r="K46" s="578"/>
    </row>
    <row r="47" spans="2:11" ht="15.75" thickBot="1">
      <c r="B47" s="580" t="s">
        <v>211</v>
      </c>
      <c r="C47" s="580"/>
      <c r="D47" s="580"/>
      <c r="E47" s="111">
        <v>0</v>
      </c>
      <c r="F47" s="577"/>
      <c r="G47" s="577"/>
      <c r="H47" s="577"/>
      <c r="I47" s="577"/>
      <c r="J47" s="578"/>
      <c r="K47" s="578"/>
    </row>
    <row r="48" spans="2:11" ht="28.5" customHeight="1" thickBot="1">
      <c r="B48" s="580" t="s">
        <v>121</v>
      </c>
      <c r="C48" s="580"/>
      <c r="D48" s="580"/>
      <c r="E48" s="111">
        <v>0</v>
      </c>
      <c r="F48" s="580" t="s">
        <v>121</v>
      </c>
      <c r="G48" s="580"/>
      <c r="H48" s="580"/>
      <c r="I48" s="580"/>
      <c r="J48" s="578">
        <v>0</v>
      </c>
      <c r="K48" s="578"/>
    </row>
    <row r="49" spans="2:11" ht="15.75" thickBot="1">
      <c r="B49" s="577"/>
      <c r="C49" s="577"/>
      <c r="D49" s="577"/>
      <c r="E49" s="111"/>
      <c r="F49" s="577"/>
      <c r="G49" s="577"/>
      <c r="H49" s="577"/>
      <c r="I49" s="577"/>
      <c r="J49" s="578"/>
      <c r="K49" s="578"/>
    </row>
    <row r="50" spans="2:11" ht="15.75" thickBot="1">
      <c r="B50" s="579" t="s">
        <v>882</v>
      </c>
      <c r="C50" s="579"/>
      <c r="D50" s="579"/>
      <c r="E50" s="111">
        <v>0</v>
      </c>
      <c r="F50" s="579" t="s">
        <v>882</v>
      </c>
      <c r="G50" s="579"/>
      <c r="H50" s="579"/>
      <c r="I50" s="579"/>
      <c r="J50" s="578">
        <v>0</v>
      </c>
      <c r="K50" s="578"/>
    </row>
    <row r="51" spans="2:11" ht="1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39.75" customHeight="1">
      <c r="B53" s="585" t="s">
        <v>1047</v>
      </c>
      <c r="C53" s="585"/>
      <c r="D53" s="585"/>
      <c r="E53" s="585"/>
      <c r="F53" s="585"/>
      <c r="G53" s="585"/>
      <c r="H53" s="585"/>
      <c r="I53" s="585"/>
      <c r="J53" s="585"/>
      <c r="K53" s="585"/>
    </row>
    <row r="54" spans="2:11" ht="31.5" customHeight="1" thickBot="1">
      <c r="B54" s="586" t="s">
        <v>1048</v>
      </c>
      <c r="C54" s="586"/>
      <c r="D54" s="586"/>
      <c r="E54" s="586"/>
      <c r="F54" s="586"/>
      <c r="G54" s="586"/>
      <c r="H54" s="586"/>
      <c r="I54" s="586"/>
      <c r="J54" s="586"/>
      <c r="K54" s="586"/>
    </row>
    <row r="55" spans="2:11" ht="62.25" customHeight="1" thickBot="1">
      <c r="B55" s="587" t="s">
        <v>565</v>
      </c>
      <c r="C55" s="587"/>
      <c r="D55" s="587"/>
      <c r="E55" s="587"/>
      <c r="F55" s="587" t="s">
        <v>564</v>
      </c>
      <c r="G55" s="587"/>
      <c r="H55" s="587"/>
      <c r="I55" s="587"/>
      <c r="J55" s="587"/>
      <c r="K55" s="587"/>
    </row>
    <row r="56" spans="2:11" ht="15.75" thickBot="1">
      <c r="B56" s="579" t="s">
        <v>882</v>
      </c>
      <c r="C56" s="579"/>
      <c r="D56" s="579"/>
      <c r="E56" s="111">
        <v>0</v>
      </c>
      <c r="F56" s="579" t="s">
        <v>882</v>
      </c>
      <c r="G56" s="579"/>
      <c r="H56" s="579"/>
      <c r="I56" s="579"/>
      <c r="J56" s="578">
        <v>0</v>
      </c>
      <c r="K56" s="578"/>
    </row>
    <row r="57" spans="2:11" ht="15.75" thickBot="1">
      <c r="B57" s="581"/>
      <c r="C57" s="581"/>
      <c r="D57" s="581"/>
      <c r="E57" s="111"/>
      <c r="F57" s="577"/>
      <c r="G57" s="577"/>
      <c r="H57" s="577"/>
      <c r="I57" s="577"/>
      <c r="J57" s="578"/>
      <c r="K57" s="578"/>
    </row>
    <row r="58" spans="2:11" ht="29.25" customHeight="1" thickBot="1">
      <c r="B58" s="582" t="s">
        <v>1049</v>
      </c>
      <c r="C58" s="583"/>
      <c r="D58" s="584"/>
      <c r="E58" s="111">
        <v>0</v>
      </c>
      <c r="F58" s="579" t="s">
        <v>1049</v>
      </c>
      <c r="G58" s="579"/>
      <c r="H58" s="579"/>
      <c r="I58" s="579"/>
      <c r="J58" s="578">
        <v>0</v>
      </c>
      <c r="K58" s="578"/>
    </row>
    <row r="59" spans="2:11" ht="15.75" thickBot="1">
      <c r="B59" s="580" t="s">
        <v>210</v>
      </c>
      <c r="C59" s="580"/>
      <c r="D59" s="580"/>
      <c r="E59" s="111"/>
      <c r="F59" s="580" t="s">
        <v>210</v>
      </c>
      <c r="G59" s="580"/>
      <c r="H59" s="580"/>
      <c r="I59" s="580"/>
      <c r="J59" s="578"/>
      <c r="K59" s="578"/>
    </row>
    <row r="60" spans="2:11" ht="15.75" thickBot="1">
      <c r="B60" s="580" t="s">
        <v>211</v>
      </c>
      <c r="C60" s="580"/>
      <c r="D60" s="580"/>
      <c r="E60" s="111">
        <v>0</v>
      </c>
      <c r="F60" s="577"/>
      <c r="G60" s="577"/>
      <c r="H60" s="577"/>
      <c r="I60" s="577"/>
      <c r="J60" s="578"/>
      <c r="K60" s="578"/>
    </row>
    <row r="61" spans="2:11" ht="15.75" thickBot="1">
      <c r="B61" s="580" t="s">
        <v>120</v>
      </c>
      <c r="C61" s="580"/>
      <c r="D61" s="580"/>
      <c r="E61" s="111">
        <v>0</v>
      </c>
      <c r="F61" s="580" t="s">
        <v>120</v>
      </c>
      <c r="G61" s="580"/>
      <c r="H61" s="580"/>
      <c r="I61" s="580"/>
      <c r="J61" s="578">
        <v>0</v>
      </c>
      <c r="K61" s="578"/>
    </row>
    <row r="62" spans="2:11" ht="15.75" thickBot="1">
      <c r="B62" s="577"/>
      <c r="C62" s="577"/>
      <c r="D62" s="577"/>
      <c r="E62" s="111"/>
      <c r="F62" s="577"/>
      <c r="G62" s="577"/>
      <c r="H62" s="577"/>
      <c r="I62" s="577"/>
      <c r="J62" s="578"/>
      <c r="K62" s="578"/>
    </row>
    <row r="63" spans="2:11" ht="30" customHeight="1" thickBot="1">
      <c r="B63" s="579" t="s">
        <v>1050</v>
      </c>
      <c r="C63" s="579"/>
      <c r="D63" s="579"/>
      <c r="E63" s="111">
        <v>0</v>
      </c>
      <c r="F63" s="579" t="s">
        <v>1050</v>
      </c>
      <c r="G63" s="579"/>
      <c r="H63" s="579"/>
      <c r="I63" s="579"/>
      <c r="J63" s="578">
        <v>0</v>
      </c>
      <c r="K63" s="578"/>
    </row>
    <row r="64" spans="2:11" ht="15.75" thickBot="1">
      <c r="B64" s="580" t="s">
        <v>210</v>
      </c>
      <c r="C64" s="580"/>
      <c r="D64" s="580"/>
      <c r="E64" s="111"/>
      <c r="F64" s="580" t="s">
        <v>210</v>
      </c>
      <c r="G64" s="580"/>
      <c r="H64" s="580"/>
      <c r="I64" s="580"/>
      <c r="J64" s="578"/>
      <c r="K64" s="578"/>
    </row>
    <row r="65" spans="2:11" ht="15.75" thickBot="1">
      <c r="B65" s="580" t="s">
        <v>211</v>
      </c>
      <c r="C65" s="580"/>
      <c r="D65" s="580"/>
      <c r="E65" s="111">
        <v>0</v>
      </c>
      <c r="F65" s="577"/>
      <c r="G65" s="577"/>
      <c r="H65" s="577"/>
      <c r="I65" s="577"/>
      <c r="J65" s="578"/>
      <c r="K65" s="578"/>
    </row>
    <row r="66" spans="2:11" ht="35.25" customHeight="1" thickBot="1">
      <c r="B66" s="580" t="s">
        <v>121</v>
      </c>
      <c r="C66" s="580"/>
      <c r="D66" s="580"/>
      <c r="E66" s="111">
        <v>0</v>
      </c>
      <c r="F66" s="580" t="s">
        <v>121</v>
      </c>
      <c r="G66" s="580"/>
      <c r="H66" s="580"/>
      <c r="I66" s="580"/>
      <c r="J66" s="578">
        <v>0</v>
      </c>
      <c r="K66" s="578"/>
    </row>
    <row r="67" spans="2:11" ht="15.75" thickBot="1">
      <c r="B67" s="577"/>
      <c r="C67" s="577"/>
      <c r="D67" s="577"/>
      <c r="E67" s="111"/>
      <c r="F67" s="577"/>
      <c r="G67" s="577"/>
      <c r="H67" s="577"/>
      <c r="I67" s="577"/>
      <c r="J67" s="578"/>
      <c r="K67" s="578"/>
    </row>
    <row r="68" spans="2:11" ht="15.75" thickBot="1">
      <c r="B68" s="579" t="s">
        <v>1051</v>
      </c>
      <c r="C68" s="579"/>
      <c r="D68" s="579"/>
      <c r="E68" s="111">
        <v>0</v>
      </c>
      <c r="F68" s="579" t="s">
        <v>1051</v>
      </c>
      <c r="G68" s="579"/>
      <c r="H68" s="579"/>
      <c r="I68" s="579"/>
      <c r="J68" s="578">
        <v>0</v>
      </c>
      <c r="K68" s="578"/>
    </row>
    <row r="71" spans="2:11" ht="28.5" customHeight="1">
      <c r="B71" s="585" t="s">
        <v>1305</v>
      </c>
      <c r="C71" s="585"/>
      <c r="D71" s="585"/>
      <c r="E71" s="585"/>
      <c r="F71" s="585"/>
      <c r="G71" s="585"/>
      <c r="H71" s="585"/>
      <c r="I71" s="585"/>
      <c r="J71" s="585"/>
      <c r="K71" s="585"/>
    </row>
    <row r="72" spans="2:11" ht="35.25" customHeight="1" thickBot="1">
      <c r="B72" s="586" t="s">
        <v>1306</v>
      </c>
      <c r="C72" s="586"/>
      <c r="D72" s="586"/>
      <c r="E72" s="586"/>
      <c r="F72" s="586"/>
      <c r="G72" s="586"/>
      <c r="H72" s="586"/>
      <c r="I72" s="586"/>
      <c r="J72" s="586"/>
      <c r="K72" s="586"/>
    </row>
    <row r="73" spans="2:11" ht="15.75" thickBot="1">
      <c r="B73" s="587" t="s">
        <v>565</v>
      </c>
      <c r="C73" s="587"/>
      <c r="D73" s="587"/>
      <c r="E73" s="587"/>
      <c r="F73" s="587" t="s">
        <v>564</v>
      </c>
      <c r="G73" s="587"/>
      <c r="H73" s="587"/>
      <c r="I73" s="587"/>
      <c r="J73" s="587"/>
      <c r="K73" s="587"/>
    </row>
    <row r="74" spans="2:11" ht="15.75" thickBot="1">
      <c r="B74" s="579" t="s">
        <v>1051</v>
      </c>
      <c r="C74" s="579"/>
      <c r="D74" s="579"/>
      <c r="E74" s="111">
        <v>0</v>
      </c>
      <c r="F74" s="579" t="s">
        <v>1051</v>
      </c>
      <c r="G74" s="579"/>
      <c r="H74" s="579"/>
      <c r="I74" s="579"/>
      <c r="J74" s="578">
        <v>0</v>
      </c>
      <c r="K74" s="578"/>
    </row>
    <row r="75" spans="2:11" ht="15.75" thickBot="1">
      <c r="B75" s="581"/>
      <c r="C75" s="581"/>
      <c r="D75" s="581"/>
      <c r="E75" s="111"/>
      <c r="F75" s="577"/>
      <c r="G75" s="577"/>
      <c r="H75" s="577"/>
      <c r="I75" s="577"/>
      <c r="J75" s="578"/>
      <c r="K75" s="578"/>
    </row>
    <row r="76" spans="2:11" ht="31.5" customHeight="1" thickBot="1">
      <c r="B76" s="582" t="s">
        <v>1307</v>
      </c>
      <c r="C76" s="583"/>
      <c r="D76" s="584"/>
      <c r="E76" s="111">
        <v>0</v>
      </c>
      <c r="F76" s="579" t="s">
        <v>1307</v>
      </c>
      <c r="G76" s="579"/>
      <c r="H76" s="579"/>
      <c r="I76" s="579"/>
      <c r="J76" s="578">
        <v>0</v>
      </c>
      <c r="K76" s="578"/>
    </row>
    <row r="77" spans="2:11" ht="15.75" thickBot="1">
      <c r="B77" s="580" t="s">
        <v>210</v>
      </c>
      <c r="C77" s="580"/>
      <c r="D77" s="580"/>
      <c r="E77" s="111"/>
      <c r="F77" s="580" t="s">
        <v>210</v>
      </c>
      <c r="G77" s="580"/>
      <c r="H77" s="580"/>
      <c r="I77" s="580"/>
      <c r="J77" s="578"/>
      <c r="K77" s="578"/>
    </row>
    <row r="78" spans="2:11" ht="15.75" thickBot="1">
      <c r="B78" s="580" t="s">
        <v>211</v>
      </c>
      <c r="C78" s="580"/>
      <c r="D78" s="580"/>
      <c r="E78" s="111">
        <v>0</v>
      </c>
      <c r="F78" s="577"/>
      <c r="G78" s="577"/>
      <c r="H78" s="577"/>
      <c r="I78" s="577"/>
      <c r="J78" s="578"/>
      <c r="K78" s="578"/>
    </row>
    <row r="79" spans="2:11" ht="19.5" customHeight="1" thickBot="1">
      <c r="B79" s="580" t="s">
        <v>120</v>
      </c>
      <c r="C79" s="580"/>
      <c r="D79" s="580"/>
      <c r="E79" s="111">
        <v>0</v>
      </c>
      <c r="F79" s="580" t="s">
        <v>120</v>
      </c>
      <c r="G79" s="580"/>
      <c r="H79" s="580"/>
      <c r="I79" s="580"/>
      <c r="J79" s="578">
        <v>0</v>
      </c>
      <c r="K79" s="578"/>
    </row>
    <row r="80" spans="2:11" ht="15.75" thickBot="1">
      <c r="B80" s="577"/>
      <c r="C80" s="577"/>
      <c r="D80" s="577"/>
      <c r="E80" s="111"/>
      <c r="F80" s="577"/>
      <c r="G80" s="577"/>
      <c r="H80" s="577"/>
      <c r="I80" s="577"/>
      <c r="J80" s="578"/>
      <c r="K80" s="578"/>
    </row>
    <row r="81" spans="2:11" ht="27.75" customHeight="1" thickBot="1">
      <c r="B81" s="579" t="s">
        <v>1308</v>
      </c>
      <c r="C81" s="579"/>
      <c r="D81" s="579"/>
      <c r="E81" s="111">
        <v>0</v>
      </c>
      <c r="F81" s="579" t="s">
        <v>1308</v>
      </c>
      <c r="G81" s="579"/>
      <c r="H81" s="579"/>
      <c r="I81" s="579"/>
      <c r="J81" s="578">
        <v>0</v>
      </c>
      <c r="K81" s="578"/>
    </row>
    <row r="82" spans="2:11" ht="15.75" thickBot="1">
      <c r="B82" s="580" t="s">
        <v>210</v>
      </c>
      <c r="C82" s="580"/>
      <c r="D82" s="580"/>
      <c r="E82" s="111"/>
      <c r="F82" s="580" t="s">
        <v>210</v>
      </c>
      <c r="G82" s="580"/>
      <c r="H82" s="580"/>
      <c r="I82" s="580"/>
      <c r="J82" s="578"/>
      <c r="K82" s="578"/>
    </row>
    <row r="83" spans="2:11" ht="15.75" thickBot="1">
      <c r="B83" s="580" t="s">
        <v>211</v>
      </c>
      <c r="C83" s="580"/>
      <c r="D83" s="580"/>
      <c r="E83" s="111">
        <v>0</v>
      </c>
      <c r="F83" s="577"/>
      <c r="G83" s="577"/>
      <c r="H83" s="577"/>
      <c r="I83" s="577"/>
      <c r="J83" s="578"/>
      <c r="K83" s="578"/>
    </row>
    <row r="84" spans="2:11" ht="29.25" customHeight="1" thickBot="1">
      <c r="B84" s="580" t="s">
        <v>121</v>
      </c>
      <c r="C84" s="580"/>
      <c r="D84" s="580"/>
      <c r="E84" s="111">
        <v>0</v>
      </c>
      <c r="F84" s="580" t="s">
        <v>121</v>
      </c>
      <c r="G84" s="580"/>
      <c r="H84" s="580"/>
      <c r="I84" s="580"/>
      <c r="J84" s="578">
        <v>0</v>
      </c>
      <c r="K84" s="578"/>
    </row>
    <row r="85" spans="2:11" ht="15.75" thickBot="1">
      <c r="B85" s="577"/>
      <c r="C85" s="577"/>
      <c r="D85" s="577"/>
      <c r="E85" s="111"/>
      <c r="F85" s="577"/>
      <c r="G85" s="577"/>
      <c r="H85" s="577"/>
      <c r="I85" s="577"/>
      <c r="J85" s="578"/>
      <c r="K85" s="578"/>
    </row>
    <row r="86" spans="2:11" ht="15.75" thickBot="1">
      <c r="B86" s="579" t="s">
        <v>1309</v>
      </c>
      <c r="C86" s="579"/>
      <c r="D86" s="579"/>
      <c r="E86" s="111">
        <v>0</v>
      </c>
      <c r="F86" s="579" t="s">
        <v>1309</v>
      </c>
      <c r="G86" s="579"/>
      <c r="H86" s="579"/>
      <c r="I86" s="579"/>
      <c r="J86" s="578">
        <v>0</v>
      </c>
      <c r="K86" s="578"/>
    </row>
  </sheetData>
  <sheetProtection/>
  <mergeCells count="170"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  <mergeCell ref="B17:E17"/>
    <mergeCell ref="B11:K11"/>
    <mergeCell ref="B13:K13"/>
    <mergeCell ref="B15:E16"/>
    <mergeCell ref="F15:K15"/>
    <mergeCell ref="E9:H9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8:D38"/>
    <mergeCell ref="F38:I38"/>
    <mergeCell ref="J38:K38"/>
    <mergeCell ref="B35:K35"/>
    <mergeCell ref="B36:K36"/>
    <mergeCell ref="B37:E37"/>
    <mergeCell ref="F37:K37"/>
    <mergeCell ref="B40:D40"/>
    <mergeCell ref="F40:I40"/>
    <mergeCell ref="J40:K40"/>
    <mergeCell ref="B39:D39"/>
    <mergeCell ref="F39:I39"/>
    <mergeCell ref="J39:K39"/>
    <mergeCell ref="B42:D42"/>
    <mergeCell ref="F42:I42"/>
    <mergeCell ref="J42:K42"/>
    <mergeCell ref="B41:D41"/>
    <mergeCell ref="F41:I41"/>
    <mergeCell ref="J41:K41"/>
    <mergeCell ref="B44:D44"/>
    <mergeCell ref="F44:I44"/>
    <mergeCell ref="J44:K44"/>
    <mergeCell ref="B43:D43"/>
    <mergeCell ref="F43:I43"/>
    <mergeCell ref="J43:K43"/>
    <mergeCell ref="B46:D46"/>
    <mergeCell ref="F46:I46"/>
    <mergeCell ref="J46:K46"/>
    <mergeCell ref="B45:D45"/>
    <mergeCell ref="F45:I45"/>
    <mergeCell ref="J45:K45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I26:K26"/>
    <mergeCell ref="I27:K27"/>
    <mergeCell ref="I28:K28"/>
    <mergeCell ref="I29:K29"/>
    <mergeCell ref="I32:K32"/>
    <mergeCell ref="I30:K30"/>
    <mergeCell ref="I31:K31"/>
    <mergeCell ref="B53:K53"/>
    <mergeCell ref="B54:K54"/>
    <mergeCell ref="B55:E55"/>
    <mergeCell ref="F55:K55"/>
    <mergeCell ref="B50:D50"/>
    <mergeCell ref="F50:I50"/>
    <mergeCell ref="J50:K50"/>
    <mergeCell ref="J56:K56"/>
    <mergeCell ref="B57:D57"/>
    <mergeCell ref="F57:I57"/>
    <mergeCell ref="J57:K57"/>
    <mergeCell ref="B58:D58"/>
    <mergeCell ref="F58:I58"/>
    <mergeCell ref="J58:K58"/>
    <mergeCell ref="B59:D59"/>
    <mergeCell ref="F59:I59"/>
    <mergeCell ref="J59:K59"/>
    <mergeCell ref="B60:D60"/>
    <mergeCell ref="F60:I60"/>
    <mergeCell ref="J60:K60"/>
    <mergeCell ref="B61:D61"/>
    <mergeCell ref="F61:I61"/>
    <mergeCell ref="J61:K61"/>
    <mergeCell ref="B62:D62"/>
    <mergeCell ref="F62:I62"/>
    <mergeCell ref="J62:K62"/>
    <mergeCell ref="B63:D63"/>
    <mergeCell ref="F63:I63"/>
    <mergeCell ref="J63:K63"/>
    <mergeCell ref="B64:D64"/>
    <mergeCell ref="F64:I64"/>
    <mergeCell ref="J64:K64"/>
    <mergeCell ref="B65:D65"/>
    <mergeCell ref="F65:I65"/>
    <mergeCell ref="J65:K65"/>
    <mergeCell ref="B66:D66"/>
    <mergeCell ref="F66:I66"/>
    <mergeCell ref="J66:K66"/>
    <mergeCell ref="B67:D67"/>
    <mergeCell ref="F67:I67"/>
    <mergeCell ref="J67:K67"/>
    <mergeCell ref="B68:D68"/>
    <mergeCell ref="F68:I68"/>
    <mergeCell ref="J68:K68"/>
    <mergeCell ref="B71:K71"/>
    <mergeCell ref="B72:K72"/>
    <mergeCell ref="B73:E73"/>
    <mergeCell ref="F73:K73"/>
    <mergeCell ref="B74:D74"/>
    <mergeCell ref="F74:I74"/>
    <mergeCell ref="J74:K74"/>
    <mergeCell ref="B75:D75"/>
    <mergeCell ref="F75:I75"/>
    <mergeCell ref="J75:K75"/>
    <mergeCell ref="B76:D76"/>
    <mergeCell ref="F76:I76"/>
    <mergeCell ref="J76:K76"/>
    <mergeCell ref="B77:D77"/>
    <mergeCell ref="F77:I77"/>
    <mergeCell ref="J77:K77"/>
    <mergeCell ref="B78:D78"/>
    <mergeCell ref="F78:I78"/>
    <mergeCell ref="J78:K78"/>
    <mergeCell ref="B79:D79"/>
    <mergeCell ref="F79:I79"/>
    <mergeCell ref="J79:K79"/>
    <mergeCell ref="B80:D80"/>
    <mergeCell ref="F80:I80"/>
    <mergeCell ref="J80:K80"/>
    <mergeCell ref="B81:D81"/>
    <mergeCell ref="F81:I81"/>
    <mergeCell ref="J81:K81"/>
    <mergeCell ref="B82:D82"/>
    <mergeCell ref="F82:I82"/>
    <mergeCell ref="J82:K82"/>
    <mergeCell ref="B83:D83"/>
    <mergeCell ref="F83:I83"/>
    <mergeCell ref="J83:K83"/>
    <mergeCell ref="B84:D84"/>
    <mergeCell ref="F84:I84"/>
    <mergeCell ref="J84:K84"/>
    <mergeCell ref="B85:D85"/>
    <mergeCell ref="F85:I85"/>
    <mergeCell ref="J85:K85"/>
    <mergeCell ref="B86:D86"/>
    <mergeCell ref="F86:I86"/>
    <mergeCell ref="J86:K86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3"/>
  <sheetViews>
    <sheetView view="pageBreakPreview" zoomScale="60" zoomScalePageLayoutView="0" workbookViewId="0" topLeftCell="A109">
      <selection activeCell="X124" sqref="X124:X125"/>
    </sheetView>
  </sheetViews>
  <sheetFormatPr defaultColWidth="9.140625" defaultRowHeight="12.75"/>
  <cols>
    <col min="1" max="1" width="32.28125" style="174" customWidth="1"/>
    <col min="2" max="2" width="57.140625" style="174" customWidth="1"/>
    <col min="3" max="3" width="23.7109375" style="174" customWidth="1"/>
    <col min="4" max="4" width="19.28125" style="174" customWidth="1"/>
    <col min="5" max="5" width="20.7109375" style="174" customWidth="1"/>
    <col min="6" max="8" width="20.8515625" style="174" hidden="1" customWidth="1"/>
    <col min="9" max="9" width="19.00390625" style="174" hidden="1" customWidth="1"/>
    <col min="10" max="10" width="18.7109375" style="174" hidden="1" customWidth="1"/>
    <col min="11" max="11" width="18.57421875" style="463" hidden="1" customWidth="1"/>
    <col min="12" max="12" width="21.57421875" style="463" hidden="1" customWidth="1"/>
    <col min="13" max="16384" width="9.140625" style="174" customWidth="1"/>
  </cols>
  <sheetData>
    <row r="1" spans="3:5" ht="15.75">
      <c r="C1" s="325"/>
      <c r="D1" s="40"/>
      <c r="E1" s="38" t="s">
        <v>199</v>
      </c>
    </row>
    <row r="2" spans="3:5" ht="16.5" thickBot="1">
      <c r="C2" s="521" t="s">
        <v>112</v>
      </c>
      <c r="D2" s="521"/>
      <c r="E2" s="521"/>
    </row>
    <row r="3" spans="3:8" ht="24" customHeight="1" thickBot="1">
      <c r="C3" s="325"/>
      <c r="D3" s="40"/>
      <c r="E3" s="38" t="s">
        <v>1440</v>
      </c>
      <c r="F3" s="522" t="s">
        <v>1449</v>
      </c>
      <c r="G3" s="523"/>
      <c r="H3" s="524"/>
    </row>
    <row r="4" spans="1:3" ht="15.75" customHeight="1">
      <c r="A4" s="525"/>
      <c r="B4" s="525"/>
      <c r="C4" s="525"/>
    </row>
    <row r="5" spans="1:5" ht="41.25" customHeight="1">
      <c r="A5" s="526" t="s">
        <v>1257</v>
      </c>
      <c r="B5" s="526"/>
      <c r="C5" s="526"/>
      <c r="D5" s="526"/>
      <c r="E5" s="526"/>
    </row>
    <row r="6" spans="1:3" ht="13.5" thickBot="1">
      <c r="A6" s="175"/>
      <c r="B6" s="175"/>
      <c r="C6" s="175"/>
    </row>
    <row r="7" spans="1:5" ht="13.5" customHeight="1">
      <c r="A7" s="527" t="s">
        <v>167</v>
      </c>
      <c r="B7" s="529" t="s">
        <v>768</v>
      </c>
      <c r="C7" s="529" t="s">
        <v>209</v>
      </c>
      <c r="D7" s="529"/>
      <c r="E7" s="531"/>
    </row>
    <row r="8" spans="1:5" ht="12.75">
      <c r="A8" s="528"/>
      <c r="B8" s="530"/>
      <c r="C8" s="282">
        <v>2020</v>
      </c>
      <c r="D8" s="282">
        <v>2021</v>
      </c>
      <c r="E8" s="346">
        <v>2022</v>
      </c>
    </row>
    <row r="9" spans="1:5" ht="12.75">
      <c r="A9" s="347">
        <v>1</v>
      </c>
      <c r="B9" s="283">
        <v>2</v>
      </c>
      <c r="C9" s="283">
        <v>3</v>
      </c>
      <c r="D9" s="283">
        <v>4</v>
      </c>
      <c r="E9" s="348">
        <v>5</v>
      </c>
    </row>
    <row r="10" spans="1:12" ht="15.75">
      <c r="A10" s="465" t="s">
        <v>769</v>
      </c>
      <c r="B10" s="466" t="s">
        <v>770</v>
      </c>
      <c r="C10" s="284">
        <f>C11+C21+C31+C41+C45+C62+C72+C78+C92+C109</f>
        <v>68492444</v>
      </c>
      <c r="D10" s="284">
        <f>D11+D21+D31+D41+D45+D62+D72+D78+D92+D109</f>
        <v>66311172</v>
      </c>
      <c r="E10" s="467">
        <f>E11+E21+E31+E41+E45+E62+E72+E78+E92+E109</f>
        <v>66685162</v>
      </c>
      <c r="I10" s="284">
        <v>66305524</v>
      </c>
      <c r="J10" s="467">
        <v>66679514</v>
      </c>
      <c r="K10" s="284">
        <f>K11+K21+K31+K41+K45+K62+K72+K78+K92+K109</f>
        <v>68492444</v>
      </c>
      <c r="L10" s="463">
        <v>68492444</v>
      </c>
    </row>
    <row r="11" spans="1:12" ht="15.75">
      <c r="A11" s="465" t="s">
        <v>771</v>
      </c>
      <c r="B11" s="466" t="s">
        <v>772</v>
      </c>
      <c r="C11" s="284">
        <f>C12</f>
        <v>47229040</v>
      </c>
      <c r="D11" s="284">
        <f>D12</f>
        <v>48899078</v>
      </c>
      <c r="E11" s="467">
        <f>E12</f>
        <v>49169468</v>
      </c>
      <c r="I11" s="284">
        <v>48893430</v>
      </c>
      <c r="J11" s="467">
        <v>49163820</v>
      </c>
      <c r="K11" s="284">
        <f>K12</f>
        <v>48562040</v>
      </c>
      <c r="L11" s="463">
        <v>48562040</v>
      </c>
    </row>
    <row r="12" spans="1:12" ht="15.75">
      <c r="A12" s="468" t="s">
        <v>773</v>
      </c>
      <c r="B12" s="469" t="s">
        <v>226</v>
      </c>
      <c r="C12" s="285">
        <f>C13+C15+C17+C19</f>
        <v>47229040</v>
      </c>
      <c r="D12" s="285">
        <f>D13+D15+D17+D19</f>
        <v>48899078</v>
      </c>
      <c r="E12" s="470">
        <f>E13+E15+E17+E19</f>
        <v>49169468</v>
      </c>
      <c r="I12" s="285">
        <v>48893430</v>
      </c>
      <c r="J12" s="470">
        <v>49163820</v>
      </c>
      <c r="K12" s="285">
        <f>K13+K15+K17+K19</f>
        <v>48562040</v>
      </c>
      <c r="L12" s="463">
        <v>48562040</v>
      </c>
    </row>
    <row r="13" spans="1:12" ht="81.75" customHeight="1">
      <c r="A13" s="349" t="s">
        <v>774</v>
      </c>
      <c r="B13" s="314" t="s">
        <v>173</v>
      </c>
      <c r="C13" s="286">
        <f>SUM(C14)</f>
        <v>45128610</v>
      </c>
      <c r="D13" s="286">
        <f>SUM(D14)</f>
        <v>47302568</v>
      </c>
      <c r="E13" s="350">
        <f>SUM(E14)</f>
        <v>47539048</v>
      </c>
      <c r="I13" s="286">
        <v>47296920</v>
      </c>
      <c r="J13" s="350">
        <v>47533400</v>
      </c>
      <c r="K13" s="286">
        <f>SUM(K14)</f>
        <v>47061610</v>
      </c>
      <c r="L13" s="463">
        <v>47061610</v>
      </c>
    </row>
    <row r="14" spans="1:12" ht="78.75" customHeight="1">
      <c r="A14" s="351" t="s">
        <v>260</v>
      </c>
      <c r="B14" s="63" t="s">
        <v>173</v>
      </c>
      <c r="C14" s="178">
        <v>45128610</v>
      </c>
      <c r="D14" s="178">
        <v>47302568</v>
      </c>
      <c r="E14" s="352">
        <v>47539048</v>
      </c>
      <c r="I14" s="178">
        <v>47296920</v>
      </c>
      <c r="J14" s="352">
        <v>47533400</v>
      </c>
      <c r="K14" s="178">
        <v>47061610</v>
      </c>
      <c r="L14" s="463">
        <v>47061610</v>
      </c>
    </row>
    <row r="15" spans="1:12" ht="129" customHeight="1">
      <c r="A15" s="349" t="s">
        <v>775</v>
      </c>
      <c r="B15" s="314" t="s">
        <v>776</v>
      </c>
      <c r="C15" s="286">
        <f>C16</f>
        <v>1308690</v>
      </c>
      <c r="D15" s="286">
        <f>D16</f>
        <v>565210</v>
      </c>
      <c r="E15" s="350">
        <f>E16</f>
        <v>565210</v>
      </c>
      <c r="K15" s="286">
        <f>K16</f>
        <v>508690</v>
      </c>
      <c r="L15" s="463">
        <v>508690</v>
      </c>
    </row>
    <row r="16" spans="1:12" ht="126" customHeight="1">
      <c r="A16" s="351" t="s">
        <v>261</v>
      </c>
      <c r="B16" s="512" t="s">
        <v>183</v>
      </c>
      <c r="C16" s="178">
        <v>1308690</v>
      </c>
      <c r="D16" s="178">
        <v>565210</v>
      </c>
      <c r="E16" s="352">
        <v>565210</v>
      </c>
      <c r="K16" s="178">
        <v>508690</v>
      </c>
      <c r="L16" s="463">
        <v>508690</v>
      </c>
    </row>
    <row r="17" spans="1:12" ht="49.5" customHeight="1">
      <c r="A17" s="349" t="s">
        <v>777</v>
      </c>
      <c r="B17" s="314" t="s">
        <v>778</v>
      </c>
      <c r="C17" s="286">
        <f>C18</f>
        <v>491740</v>
      </c>
      <c r="D17" s="286">
        <f>D18</f>
        <v>531300</v>
      </c>
      <c r="E17" s="350">
        <f>E18</f>
        <v>565210</v>
      </c>
      <c r="K17" s="286">
        <f>K18</f>
        <v>491740</v>
      </c>
      <c r="L17" s="463">
        <v>491740</v>
      </c>
    </row>
    <row r="18" spans="1:12" ht="51.75" customHeight="1">
      <c r="A18" s="351" t="s">
        <v>262</v>
      </c>
      <c r="B18" s="69" t="s">
        <v>29</v>
      </c>
      <c r="C18" s="178">
        <v>491740</v>
      </c>
      <c r="D18" s="178">
        <v>531300</v>
      </c>
      <c r="E18" s="352">
        <v>565210</v>
      </c>
      <c r="K18" s="178">
        <v>491740</v>
      </c>
      <c r="L18" s="463">
        <v>491740</v>
      </c>
    </row>
    <row r="19" spans="1:12" ht="97.5" customHeight="1">
      <c r="A19" s="353" t="s">
        <v>779</v>
      </c>
      <c r="B19" s="287" t="s">
        <v>734</v>
      </c>
      <c r="C19" s="288">
        <f>C20</f>
        <v>300000</v>
      </c>
      <c r="D19" s="288">
        <f>D20</f>
        <v>500000</v>
      </c>
      <c r="E19" s="354">
        <f>E20</f>
        <v>500000</v>
      </c>
      <c r="K19" s="288">
        <f>K20</f>
        <v>500000</v>
      </c>
      <c r="L19" s="463">
        <v>500000</v>
      </c>
    </row>
    <row r="20" spans="1:12" ht="96.75" customHeight="1">
      <c r="A20" s="351" t="s">
        <v>263</v>
      </c>
      <c r="B20" s="69" t="s">
        <v>734</v>
      </c>
      <c r="C20" s="178">
        <v>300000</v>
      </c>
      <c r="D20" s="178">
        <v>500000</v>
      </c>
      <c r="E20" s="352">
        <v>500000</v>
      </c>
      <c r="K20" s="178">
        <v>500000</v>
      </c>
      <c r="L20" s="463">
        <v>500000</v>
      </c>
    </row>
    <row r="21" spans="1:12" ht="50.25" customHeight="1">
      <c r="A21" s="355" t="s">
        <v>780</v>
      </c>
      <c r="B21" s="227" t="s">
        <v>781</v>
      </c>
      <c r="C21" s="289">
        <f>C22</f>
        <v>7819177</v>
      </c>
      <c r="D21" s="289">
        <f>D22</f>
        <v>7819177</v>
      </c>
      <c r="E21" s="356">
        <f>E22</f>
        <v>7819177</v>
      </c>
      <c r="K21" s="289">
        <f>K22</f>
        <v>7819177</v>
      </c>
      <c r="L21" s="463">
        <v>7819177</v>
      </c>
    </row>
    <row r="22" spans="1:12" ht="47.25">
      <c r="A22" s="357" t="s">
        <v>782</v>
      </c>
      <c r="B22" s="290" t="s">
        <v>91</v>
      </c>
      <c r="C22" s="291">
        <f>C23+C25+C27+C29</f>
        <v>7819177</v>
      </c>
      <c r="D22" s="291">
        <f>D23+D25+D27+D29</f>
        <v>7819177</v>
      </c>
      <c r="E22" s="358">
        <f>E23+E25+E27+E29</f>
        <v>7819177</v>
      </c>
      <c r="K22" s="291">
        <f>K23+K25+K27+K29</f>
        <v>7819177</v>
      </c>
      <c r="L22" s="463">
        <v>7819177</v>
      </c>
    </row>
    <row r="23" spans="1:12" ht="92.25" customHeight="1">
      <c r="A23" s="353" t="s">
        <v>783</v>
      </c>
      <c r="B23" s="287" t="s">
        <v>249</v>
      </c>
      <c r="C23" s="288">
        <f>C24</f>
        <v>3571449</v>
      </c>
      <c r="D23" s="288">
        <f>D24</f>
        <v>3571449</v>
      </c>
      <c r="E23" s="354">
        <f>E24</f>
        <v>3571449</v>
      </c>
      <c r="K23" s="288">
        <f>K24</f>
        <v>3571449</v>
      </c>
      <c r="L23" s="463">
        <v>3571449</v>
      </c>
    </row>
    <row r="24" spans="1:12" ht="75.75" customHeight="1">
      <c r="A24" s="351" t="s">
        <v>243</v>
      </c>
      <c r="B24" s="69" t="s">
        <v>249</v>
      </c>
      <c r="C24" s="178">
        <v>3571449</v>
      </c>
      <c r="D24" s="178">
        <v>3571449</v>
      </c>
      <c r="E24" s="352">
        <v>3571449</v>
      </c>
      <c r="K24" s="178">
        <v>3571449</v>
      </c>
      <c r="L24" s="463">
        <v>3571449</v>
      </c>
    </row>
    <row r="25" spans="1:12" ht="109.5" customHeight="1">
      <c r="A25" s="353" t="s">
        <v>784</v>
      </c>
      <c r="B25" s="287" t="s">
        <v>188</v>
      </c>
      <c r="C25" s="288">
        <f>C26</f>
        <v>19303.29</v>
      </c>
      <c r="D25" s="288">
        <f>D26</f>
        <v>19303.29</v>
      </c>
      <c r="E25" s="354">
        <f>E26</f>
        <v>19303.29</v>
      </c>
      <c r="K25" s="288">
        <f>K26</f>
        <v>19303.29</v>
      </c>
      <c r="L25" s="463">
        <v>19303.29</v>
      </c>
    </row>
    <row r="26" spans="1:12" ht="111" customHeight="1">
      <c r="A26" s="351" t="s">
        <v>244</v>
      </c>
      <c r="B26" s="69" t="s">
        <v>188</v>
      </c>
      <c r="C26" s="178">
        <v>19303.29</v>
      </c>
      <c r="D26" s="178">
        <v>19303.29</v>
      </c>
      <c r="E26" s="352">
        <v>19303.29</v>
      </c>
      <c r="K26" s="178">
        <v>19303.29</v>
      </c>
      <c r="L26" s="463">
        <v>19303.29</v>
      </c>
    </row>
    <row r="27" spans="1:12" ht="97.5" customHeight="1">
      <c r="A27" s="353" t="s">
        <v>785</v>
      </c>
      <c r="B27" s="287" t="s">
        <v>553</v>
      </c>
      <c r="C27" s="288">
        <f>C28</f>
        <v>4783974.52</v>
      </c>
      <c r="D27" s="288">
        <f>D28</f>
        <v>4783974.52</v>
      </c>
      <c r="E27" s="354">
        <f>E28</f>
        <v>4783974.52</v>
      </c>
      <c r="K27" s="288">
        <f>K28</f>
        <v>4783974.52</v>
      </c>
      <c r="L27" s="463">
        <v>4783974.52</v>
      </c>
    </row>
    <row r="28" spans="1:12" ht="92.25" customHeight="1">
      <c r="A28" s="351" t="s">
        <v>245</v>
      </c>
      <c r="B28" s="69" t="s">
        <v>553</v>
      </c>
      <c r="C28" s="178">
        <v>4783974.52</v>
      </c>
      <c r="D28" s="178">
        <v>4783974.52</v>
      </c>
      <c r="E28" s="352">
        <v>4783974.52</v>
      </c>
      <c r="K28" s="178">
        <v>4783974.52</v>
      </c>
      <c r="L28" s="463">
        <v>4783974.52</v>
      </c>
    </row>
    <row r="29" spans="1:12" ht="93" customHeight="1">
      <c r="A29" s="353" t="s">
        <v>786</v>
      </c>
      <c r="B29" s="287" t="s">
        <v>554</v>
      </c>
      <c r="C29" s="288">
        <f>C30</f>
        <v>-555549.81</v>
      </c>
      <c r="D29" s="288">
        <f>D30</f>
        <v>-555549.81</v>
      </c>
      <c r="E29" s="354">
        <f>E30</f>
        <v>-555549.81</v>
      </c>
      <c r="K29" s="288">
        <f>K30</f>
        <v>-555549.81</v>
      </c>
      <c r="L29" s="463">
        <v>-555549.81</v>
      </c>
    </row>
    <row r="30" spans="1:12" ht="78.75" customHeight="1">
      <c r="A30" s="351" t="s">
        <v>246</v>
      </c>
      <c r="B30" s="69" t="s">
        <v>554</v>
      </c>
      <c r="C30" s="178">
        <v>-555549.81</v>
      </c>
      <c r="D30" s="178">
        <v>-555549.81</v>
      </c>
      <c r="E30" s="352">
        <v>-555549.81</v>
      </c>
      <c r="K30" s="178">
        <v>-555549.81</v>
      </c>
      <c r="L30" s="463">
        <v>-555549.81</v>
      </c>
    </row>
    <row r="31" spans="1:12" ht="15.75">
      <c r="A31" s="355" t="s">
        <v>787</v>
      </c>
      <c r="B31" s="227" t="s">
        <v>788</v>
      </c>
      <c r="C31" s="289">
        <f>C32+C35+C38</f>
        <v>4970000</v>
      </c>
      <c r="D31" s="289">
        <f>D32+D35+D38</f>
        <v>1958000</v>
      </c>
      <c r="E31" s="356">
        <f>E32+E35+E38</f>
        <v>1987000</v>
      </c>
      <c r="K31" s="289">
        <f>K32+K35+K38</f>
        <v>3637000</v>
      </c>
      <c r="L31" s="463">
        <v>3637000</v>
      </c>
    </row>
    <row r="32" spans="1:12" ht="31.5">
      <c r="A32" s="359" t="s">
        <v>789</v>
      </c>
      <c r="B32" s="292" t="s">
        <v>264</v>
      </c>
      <c r="C32" s="293">
        <f aca="true" t="shared" si="0" ref="C32:E33">C33</f>
        <v>2000000</v>
      </c>
      <c r="D32" s="293">
        <f t="shared" si="0"/>
        <v>0</v>
      </c>
      <c r="E32" s="360">
        <f t="shared" si="0"/>
        <v>0</v>
      </c>
      <c r="K32" s="293">
        <f>K33</f>
        <v>2000000</v>
      </c>
      <c r="L32" s="463">
        <v>2000000</v>
      </c>
    </row>
    <row r="33" spans="1:12" ht="31.5">
      <c r="A33" s="361" t="s">
        <v>790</v>
      </c>
      <c r="B33" s="181" t="s">
        <v>264</v>
      </c>
      <c r="C33" s="178">
        <f t="shared" si="0"/>
        <v>2000000</v>
      </c>
      <c r="D33" s="178">
        <f t="shared" si="0"/>
        <v>0</v>
      </c>
      <c r="E33" s="352">
        <f t="shared" si="0"/>
        <v>0</v>
      </c>
      <c r="K33" s="178">
        <f>K34</f>
        <v>2000000</v>
      </c>
      <c r="L33" s="463">
        <v>2000000</v>
      </c>
    </row>
    <row r="34" spans="1:12" ht="31.5">
      <c r="A34" s="361" t="s">
        <v>868</v>
      </c>
      <c r="B34" s="181" t="s">
        <v>264</v>
      </c>
      <c r="C34" s="178">
        <v>2000000</v>
      </c>
      <c r="D34" s="178"/>
      <c r="E34" s="352"/>
      <c r="K34" s="178">
        <v>2000000</v>
      </c>
      <c r="L34" s="463">
        <v>2000000</v>
      </c>
    </row>
    <row r="35" spans="1:12" ht="15.75">
      <c r="A35" s="362" t="s">
        <v>791</v>
      </c>
      <c r="B35" s="292" t="s">
        <v>291</v>
      </c>
      <c r="C35" s="293">
        <f aca="true" t="shared" si="1" ref="C35:E36">C36</f>
        <v>2500000</v>
      </c>
      <c r="D35" s="293">
        <f t="shared" si="1"/>
        <v>1458000</v>
      </c>
      <c r="E35" s="360">
        <f t="shared" si="1"/>
        <v>1487000</v>
      </c>
      <c r="K35" s="293">
        <f>K36</f>
        <v>1167000</v>
      </c>
      <c r="L35" s="463">
        <v>1167000</v>
      </c>
    </row>
    <row r="36" spans="1:12" ht="15.75">
      <c r="A36" s="361" t="s">
        <v>792</v>
      </c>
      <c r="B36" s="181" t="s">
        <v>291</v>
      </c>
      <c r="C36" s="178">
        <f t="shared" si="1"/>
        <v>2500000</v>
      </c>
      <c r="D36" s="178">
        <f t="shared" si="1"/>
        <v>1458000</v>
      </c>
      <c r="E36" s="352">
        <f t="shared" si="1"/>
        <v>1487000</v>
      </c>
      <c r="K36" s="178">
        <f>K37</f>
        <v>1167000</v>
      </c>
      <c r="L36" s="463">
        <v>1167000</v>
      </c>
    </row>
    <row r="37" spans="1:12" ht="15.75">
      <c r="A37" s="361" t="s">
        <v>793</v>
      </c>
      <c r="B37" s="181" t="s">
        <v>291</v>
      </c>
      <c r="C37" s="178">
        <v>2500000</v>
      </c>
      <c r="D37" s="178">
        <v>1458000</v>
      </c>
      <c r="E37" s="352">
        <v>1487000</v>
      </c>
      <c r="K37" s="178">
        <v>1167000</v>
      </c>
      <c r="L37" s="463">
        <v>1167000</v>
      </c>
    </row>
    <row r="38" spans="1:12" ht="31.5">
      <c r="A38" s="359" t="s">
        <v>794</v>
      </c>
      <c r="B38" s="292" t="s">
        <v>623</v>
      </c>
      <c r="C38" s="293">
        <f aca="true" t="shared" si="2" ref="C38:E39">C39</f>
        <v>470000</v>
      </c>
      <c r="D38" s="293">
        <f t="shared" si="2"/>
        <v>500000</v>
      </c>
      <c r="E38" s="360">
        <f t="shared" si="2"/>
        <v>500000</v>
      </c>
      <c r="K38" s="293">
        <f>K39</f>
        <v>470000</v>
      </c>
      <c r="L38" s="463">
        <v>470000</v>
      </c>
    </row>
    <row r="39" spans="1:12" ht="31.5">
      <c r="A39" s="361" t="s">
        <v>795</v>
      </c>
      <c r="B39" s="181" t="s">
        <v>623</v>
      </c>
      <c r="C39" s="178">
        <f t="shared" si="2"/>
        <v>470000</v>
      </c>
      <c r="D39" s="178">
        <f t="shared" si="2"/>
        <v>500000</v>
      </c>
      <c r="E39" s="352">
        <f t="shared" si="2"/>
        <v>500000</v>
      </c>
      <c r="K39" s="178">
        <f>K40</f>
        <v>470000</v>
      </c>
      <c r="L39" s="463">
        <v>470000</v>
      </c>
    </row>
    <row r="40" spans="1:12" ht="31.5">
      <c r="A40" s="361" t="s">
        <v>867</v>
      </c>
      <c r="B40" s="181" t="s">
        <v>623</v>
      </c>
      <c r="C40" s="178">
        <v>470000</v>
      </c>
      <c r="D40" s="178">
        <v>500000</v>
      </c>
      <c r="E40" s="352">
        <v>500000</v>
      </c>
      <c r="K40" s="178">
        <v>470000</v>
      </c>
      <c r="L40" s="463">
        <v>470000</v>
      </c>
    </row>
    <row r="41" spans="1:12" ht="15.75">
      <c r="A41" s="363" t="s">
        <v>870</v>
      </c>
      <c r="B41" s="294" t="s">
        <v>871</v>
      </c>
      <c r="C41" s="289">
        <f aca="true" t="shared" si="3" ref="C41:E43">C42</f>
        <v>450000</v>
      </c>
      <c r="D41" s="289">
        <f t="shared" si="3"/>
        <v>450000</v>
      </c>
      <c r="E41" s="356">
        <f t="shared" si="3"/>
        <v>450000</v>
      </c>
      <c r="K41" s="289">
        <f>K42</f>
        <v>450000</v>
      </c>
      <c r="L41" s="463">
        <v>450000</v>
      </c>
    </row>
    <row r="42" spans="1:12" ht="36.75" customHeight="1">
      <c r="A42" s="359" t="s">
        <v>872</v>
      </c>
      <c r="B42" s="292" t="s">
        <v>873</v>
      </c>
      <c r="C42" s="293">
        <f>C43</f>
        <v>450000</v>
      </c>
      <c r="D42" s="293">
        <f t="shared" si="3"/>
        <v>450000</v>
      </c>
      <c r="E42" s="360">
        <f t="shared" si="3"/>
        <v>450000</v>
      </c>
      <c r="K42" s="293">
        <f>K43</f>
        <v>450000</v>
      </c>
      <c r="L42" s="463">
        <v>450000</v>
      </c>
    </row>
    <row r="43" spans="1:12" ht="50.25" customHeight="1">
      <c r="A43" s="361" t="s">
        <v>1394</v>
      </c>
      <c r="B43" s="308" t="s">
        <v>875</v>
      </c>
      <c r="C43" s="307">
        <f>C44</f>
        <v>450000</v>
      </c>
      <c r="D43" s="307">
        <f t="shared" si="3"/>
        <v>450000</v>
      </c>
      <c r="E43" s="364">
        <f t="shared" si="3"/>
        <v>450000</v>
      </c>
      <c r="K43" s="307">
        <f>K44</f>
        <v>450000</v>
      </c>
      <c r="L43" s="463">
        <v>450000</v>
      </c>
    </row>
    <row r="44" spans="1:12" ht="45.75" customHeight="1">
      <c r="A44" s="361" t="s">
        <v>874</v>
      </c>
      <c r="B44" s="181" t="s">
        <v>875</v>
      </c>
      <c r="C44" s="178">
        <v>450000</v>
      </c>
      <c r="D44" s="178">
        <v>450000</v>
      </c>
      <c r="E44" s="352">
        <v>450000</v>
      </c>
      <c r="K44" s="178">
        <v>450000</v>
      </c>
      <c r="L44" s="463">
        <v>450000</v>
      </c>
    </row>
    <row r="45" spans="1:12" ht="47.25">
      <c r="A45" s="355" t="s">
        <v>796</v>
      </c>
      <c r="B45" s="227" t="s">
        <v>797</v>
      </c>
      <c r="C45" s="289">
        <f>C49+C58</f>
        <v>4131170</v>
      </c>
      <c r="D45" s="289">
        <f>D49+D58</f>
        <v>3280000</v>
      </c>
      <c r="E45" s="356">
        <f>E49+E58</f>
        <v>3285000</v>
      </c>
      <c r="K45" s="289">
        <f>K49+K58</f>
        <v>4131170</v>
      </c>
      <c r="L45" s="463">
        <v>4131170</v>
      </c>
    </row>
    <row r="46" spans="1:12" ht="33.75" customHeight="1">
      <c r="A46" s="357" t="s">
        <v>798</v>
      </c>
      <c r="B46" s="290" t="s">
        <v>799</v>
      </c>
      <c r="C46" s="291">
        <f aca="true" t="shared" si="4" ref="C46:E47">C47</f>
        <v>0</v>
      </c>
      <c r="D46" s="291">
        <f t="shared" si="4"/>
        <v>0</v>
      </c>
      <c r="E46" s="358">
        <f t="shared" si="4"/>
        <v>0</v>
      </c>
      <c r="K46" s="291">
        <f>K47</f>
        <v>0</v>
      </c>
      <c r="L46" s="463">
        <v>0</v>
      </c>
    </row>
    <row r="47" spans="1:12" ht="47.25">
      <c r="A47" s="365" t="s">
        <v>800</v>
      </c>
      <c r="B47" s="316" t="s">
        <v>247</v>
      </c>
      <c r="C47" s="288">
        <f t="shared" si="4"/>
        <v>0</v>
      </c>
      <c r="D47" s="288">
        <f t="shared" si="4"/>
        <v>0</v>
      </c>
      <c r="E47" s="354">
        <f t="shared" si="4"/>
        <v>0</v>
      </c>
      <c r="K47" s="288">
        <f>K48</f>
        <v>0</v>
      </c>
      <c r="L47" s="463">
        <v>0</v>
      </c>
    </row>
    <row r="48" spans="1:12" ht="47.25">
      <c r="A48" s="366" t="s">
        <v>265</v>
      </c>
      <c r="B48" s="311" t="s">
        <v>247</v>
      </c>
      <c r="C48" s="178">
        <v>0</v>
      </c>
      <c r="D48" s="178">
        <v>0</v>
      </c>
      <c r="E48" s="352">
        <v>0</v>
      </c>
      <c r="K48" s="178">
        <v>0</v>
      </c>
      <c r="L48" s="463">
        <v>0</v>
      </c>
    </row>
    <row r="49" spans="1:12" ht="97.5" customHeight="1">
      <c r="A49" s="357" t="s">
        <v>801</v>
      </c>
      <c r="B49" s="290" t="s">
        <v>802</v>
      </c>
      <c r="C49" s="291">
        <f>C50+C55</f>
        <v>2781170</v>
      </c>
      <c r="D49" s="291">
        <f>D50+D55</f>
        <v>2730000</v>
      </c>
      <c r="E49" s="358">
        <f>E50+E55</f>
        <v>2735000</v>
      </c>
      <c r="K49" s="291">
        <f>K50+K55</f>
        <v>2781170</v>
      </c>
      <c r="L49" s="463">
        <v>2781170</v>
      </c>
    </row>
    <row r="50" spans="1:12" ht="78.75" customHeight="1">
      <c r="A50" s="367" t="s">
        <v>803</v>
      </c>
      <c r="B50" s="287" t="s">
        <v>804</v>
      </c>
      <c r="C50" s="288">
        <f>C51+C53</f>
        <v>2541170</v>
      </c>
      <c r="D50" s="288">
        <f>D51+D53</f>
        <v>2495000</v>
      </c>
      <c r="E50" s="354">
        <f>E51+E53</f>
        <v>2500000</v>
      </c>
      <c r="K50" s="288">
        <f>K51+K53</f>
        <v>2541170</v>
      </c>
      <c r="L50" s="463">
        <v>2541170</v>
      </c>
    </row>
    <row r="51" spans="1:12" ht="97.5" customHeight="1">
      <c r="A51" s="367" t="s">
        <v>987</v>
      </c>
      <c r="B51" s="295" t="s">
        <v>977</v>
      </c>
      <c r="C51" s="288">
        <f>SUM(C52:C52)</f>
        <v>2350000</v>
      </c>
      <c r="D51" s="288">
        <f>SUM(D52:D52)</f>
        <v>2300000</v>
      </c>
      <c r="E51" s="354">
        <f>SUM(E52:E52)</f>
        <v>2300000</v>
      </c>
      <c r="K51" s="288">
        <f>SUM(K52:K52)</f>
        <v>2350000</v>
      </c>
      <c r="L51" s="463">
        <v>2350000</v>
      </c>
    </row>
    <row r="52" spans="1:12" ht="110.25">
      <c r="A52" s="361" t="s">
        <v>981</v>
      </c>
      <c r="B52" s="220" t="s">
        <v>977</v>
      </c>
      <c r="C52" s="296">
        <v>2350000</v>
      </c>
      <c r="D52" s="296">
        <v>2300000</v>
      </c>
      <c r="E52" s="368">
        <v>2300000</v>
      </c>
      <c r="K52" s="296">
        <v>2350000</v>
      </c>
      <c r="L52" s="463">
        <v>2350000</v>
      </c>
    </row>
    <row r="53" spans="1:12" ht="94.5">
      <c r="A53" s="367" t="s">
        <v>983</v>
      </c>
      <c r="B53" s="295" t="s">
        <v>320</v>
      </c>
      <c r="C53" s="288">
        <f>C54</f>
        <v>191170</v>
      </c>
      <c r="D53" s="288">
        <f>D54</f>
        <v>195000</v>
      </c>
      <c r="E53" s="354">
        <f>E54</f>
        <v>200000</v>
      </c>
      <c r="K53" s="288">
        <f>K54</f>
        <v>191170</v>
      </c>
      <c r="L53" s="463">
        <v>191170</v>
      </c>
    </row>
    <row r="54" spans="1:12" ht="94.5">
      <c r="A54" s="361" t="s">
        <v>982</v>
      </c>
      <c r="B54" s="220" t="s">
        <v>320</v>
      </c>
      <c r="C54" s="296">
        <v>191170</v>
      </c>
      <c r="D54" s="296">
        <v>195000</v>
      </c>
      <c r="E54" s="368">
        <v>200000</v>
      </c>
      <c r="K54" s="296">
        <v>191170</v>
      </c>
      <c r="L54" s="463">
        <v>191170</v>
      </c>
    </row>
    <row r="55" spans="1:12" ht="100.5" customHeight="1">
      <c r="A55" s="349" t="s">
        <v>805</v>
      </c>
      <c r="B55" s="287" t="s">
        <v>806</v>
      </c>
      <c r="C55" s="288">
        <f aca="true" t="shared" si="5" ref="C55:E56">C56</f>
        <v>240000</v>
      </c>
      <c r="D55" s="288">
        <f t="shared" si="5"/>
        <v>235000</v>
      </c>
      <c r="E55" s="354">
        <f t="shared" si="5"/>
        <v>235000</v>
      </c>
      <c r="K55" s="288">
        <f>K56</f>
        <v>240000</v>
      </c>
      <c r="L55" s="463">
        <v>240000</v>
      </c>
    </row>
    <row r="56" spans="1:12" ht="94.5">
      <c r="A56" s="367" t="s">
        <v>807</v>
      </c>
      <c r="B56" s="295" t="s">
        <v>555</v>
      </c>
      <c r="C56" s="286">
        <f t="shared" si="5"/>
        <v>240000</v>
      </c>
      <c r="D56" s="286">
        <f t="shared" si="5"/>
        <v>235000</v>
      </c>
      <c r="E56" s="350">
        <f t="shared" si="5"/>
        <v>235000</v>
      </c>
      <c r="K56" s="286">
        <f>K57</f>
        <v>240000</v>
      </c>
      <c r="L56" s="463">
        <v>240000</v>
      </c>
    </row>
    <row r="57" spans="1:12" ht="94.5">
      <c r="A57" s="361" t="s">
        <v>338</v>
      </c>
      <c r="B57" s="220" t="s">
        <v>555</v>
      </c>
      <c r="C57" s="296">
        <v>240000</v>
      </c>
      <c r="D57" s="296">
        <v>235000</v>
      </c>
      <c r="E57" s="368">
        <v>235000</v>
      </c>
      <c r="K57" s="296">
        <v>240000</v>
      </c>
      <c r="L57" s="463">
        <v>240000</v>
      </c>
    </row>
    <row r="58" spans="1:12" ht="98.25" customHeight="1">
      <c r="A58" s="367" t="s">
        <v>808</v>
      </c>
      <c r="B58" s="295" t="s">
        <v>809</v>
      </c>
      <c r="C58" s="288">
        <f aca="true" t="shared" si="6" ref="C58:E60">C59</f>
        <v>1350000</v>
      </c>
      <c r="D58" s="288">
        <f t="shared" si="6"/>
        <v>550000</v>
      </c>
      <c r="E58" s="354">
        <f t="shared" si="6"/>
        <v>550000</v>
      </c>
      <c r="K58" s="288">
        <f>K59</f>
        <v>1350000</v>
      </c>
      <c r="L58" s="463">
        <v>1350000</v>
      </c>
    </row>
    <row r="59" spans="1:12" ht="94.5">
      <c r="A59" s="369" t="s">
        <v>810</v>
      </c>
      <c r="B59" s="297" t="s">
        <v>811</v>
      </c>
      <c r="C59" s="298">
        <f t="shared" si="6"/>
        <v>1350000</v>
      </c>
      <c r="D59" s="298">
        <f t="shared" si="6"/>
        <v>550000</v>
      </c>
      <c r="E59" s="370">
        <f t="shared" si="6"/>
        <v>550000</v>
      </c>
      <c r="K59" s="298">
        <f>K60</f>
        <v>1350000</v>
      </c>
      <c r="L59" s="463">
        <v>1350000</v>
      </c>
    </row>
    <row r="60" spans="1:12" ht="94.5">
      <c r="A60" s="367" t="s">
        <v>812</v>
      </c>
      <c r="B60" s="297" t="s">
        <v>17</v>
      </c>
      <c r="C60" s="298">
        <f t="shared" si="6"/>
        <v>1350000</v>
      </c>
      <c r="D60" s="298">
        <f t="shared" si="6"/>
        <v>550000</v>
      </c>
      <c r="E60" s="370">
        <f t="shared" si="6"/>
        <v>550000</v>
      </c>
      <c r="K60" s="298">
        <f>K61</f>
        <v>1350000</v>
      </c>
      <c r="L60" s="463">
        <v>1350000</v>
      </c>
    </row>
    <row r="61" spans="1:12" ht="94.5">
      <c r="A61" s="361" t="s">
        <v>304</v>
      </c>
      <c r="B61" s="181" t="s">
        <v>17</v>
      </c>
      <c r="C61" s="296">
        <v>1350000</v>
      </c>
      <c r="D61" s="296">
        <v>550000</v>
      </c>
      <c r="E61" s="368">
        <v>550000</v>
      </c>
      <c r="K61" s="296">
        <v>1350000</v>
      </c>
      <c r="L61" s="463">
        <v>1350000</v>
      </c>
    </row>
    <row r="62" spans="1:12" ht="31.5">
      <c r="A62" s="371" t="s">
        <v>813</v>
      </c>
      <c r="B62" s="294" t="s">
        <v>814</v>
      </c>
      <c r="C62" s="289">
        <f>C63</f>
        <v>1674100</v>
      </c>
      <c r="D62" s="289">
        <f>D63</f>
        <v>1741000</v>
      </c>
      <c r="E62" s="356">
        <f>E63</f>
        <v>1810600</v>
      </c>
      <c r="K62" s="289">
        <f>K63</f>
        <v>1674100</v>
      </c>
      <c r="L62" s="463">
        <v>1674100</v>
      </c>
    </row>
    <row r="63" spans="1:12" ht="31.5">
      <c r="A63" s="372" t="s">
        <v>815</v>
      </c>
      <c r="B63" s="299" t="s">
        <v>169</v>
      </c>
      <c r="C63" s="291">
        <f>C64+C66+C68</f>
        <v>1674100</v>
      </c>
      <c r="D63" s="291">
        <f>D64+D66+D68</f>
        <v>1741000</v>
      </c>
      <c r="E63" s="358">
        <f>E64+E66+E68</f>
        <v>1810600</v>
      </c>
      <c r="K63" s="291">
        <f>K64+K66+K68</f>
        <v>1674100</v>
      </c>
      <c r="L63" s="463">
        <v>1674100</v>
      </c>
    </row>
    <row r="64" spans="1:12" ht="33" customHeight="1">
      <c r="A64" s="367" t="s">
        <v>816</v>
      </c>
      <c r="B64" s="297" t="s">
        <v>166</v>
      </c>
      <c r="C64" s="288">
        <f>C65</f>
        <v>174100</v>
      </c>
      <c r="D64" s="288">
        <f>D65</f>
        <v>181100</v>
      </c>
      <c r="E64" s="354">
        <f>E65</f>
        <v>188300</v>
      </c>
      <c r="K64" s="288">
        <f>K65</f>
        <v>174100</v>
      </c>
      <c r="L64" s="463">
        <v>174100</v>
      </c>
    </row>
    <row r="65" spans="1:12" ht="31.5">
      <c r="A65" s="361" t="s">
        <v>288</v>
      </c>
      <c r="B65" s="181" t="s">
        <v>166</v>
      </c>
      <c r="C65" s="178">
        <v>174100</v>
      </c>
      <c r="D65" s="178">
        <v>181100</v>
      </c>
      <c r="E65" s="352">
        <v>188300</v>
      </c>
      <c r="K65" s="178">
        <v>174100</v>
      </c>
      <c r="L65" s="463">
        <v>174100</v>
      </c>
    </row>
    <row r="66" spans="1:12" ht="31.5">
      <c r="A66" s="367" t="s">
        <v>817</v>
      </c>
      <c r="B66" s="297" t="s">
        <v>115</v>
      </c>
      <c r="C66" s="298">
        <f>C67</f>
        <v>5500</v>
      </c>
      <c r="D66" s="298">
        <f>D67</f>
        <v>5700</v>
      </c>
      <c r="E66" s="370">
        <f>E67</f>
        <v>5900</v>
      </c>
      <c r="K66" s="298">
        <f>K67</f>
        <v>5500</v>
      </c>
      <c r="L66" s="463">
        <v>5500</v>
      </c>
    </row>
    <row r="67" spans="1:12" ht="31.5">
      <c r="A67" s="361" t="s">
        <v>55</v>
      </c>
      <c r="B67" s="181" t="s">
        <v>115</v>
      </c>
      <c r="C67" s="178">
        <v>5500</v>
      </c>
      <c r="D67" s="178">
        <v>5700</v>
      </c>
      <c r="E67" s="352">
        <v>5900</v>
      </c>
      <c r="K67" s="178">
        <v>5500</v>
      </c>
      <c r="L67" s="463">
        <v>5500</v>
      </c>
    </row>
    <row r="68" spans="1:12" ht="32.25" customHeight="1">
      <c r="A68" s="367" t="s">
        <v>818</v>
      </c>
      <c r="B68" s="297" t="s">
        <v>117</v>
      </c>
      <c r="C68" s="298">
        <f>C69</f>
        <v>1494500</v>
      </c>
      <c r="D68" s="298">
        <f>D69</f>
        <v>1554200</v>
      </c>
      <c r="E68" s="370">
        <f>E69</f>
        <v>1616400</v>
      </c>
      <c r="K68" s="298">
        <f>K69</f>
        <v>1494500</v>
      </c>
      <c r="L68" s="463">
        <v>1494500</v>
      </c>
    </row>
    <row r="69" spans="1:12" ht="32.25" customHeight="1">
      <c r="A69" s="361" t="s">
        <v>116</v>
      </c>
      <c r="B69" s="181" t="s">
        <v>117</v>
      </c>
      <c r="C69" s="178">
        <f>C70+C71</f>
        <v>1494500</v>
      </c>
      <c r="D69" s="178">
        <f>D70+D71</f>
        <v>1554200</v>
      </c>
      <c r="E69" s="352">
        <f>E70+E71</f>
        <v>1616400</v>
      </c>
      <c r="K69" s="178">
        <f>K70+K71</f>
        <v>1494500</v>
      </c>
      <c r="L69" s="463">
        <v>1494500</v>
      </c>
    </row>
    <row r="70" spans="1:12" ht="15.75">
      <c r="A70" s="361" t="s">
        <v>1041</v>
      </c>
      <c r="B70" s="181" t="s">
        <v>1040</v>
      </c>
      <c r="C70" s="178">
        <v>19400</v>
      </c>
      <c r="D70" s="178">
        <v>20100</v>
      </c>
      <c r="E70" s="352">
        <v>20900</v>
      </c>
      <c r="K70" s="178">
        <v>19400</v>
      </c>
      <c r="L70" s="463">
        <v>19400</v>
      </c>
    </row>
    <row r="71" spans="1:12" ht="18" customHeight="1">
      <c r="A71" s="361" t="s">
        <v>1215</v>
      </c>
      <c r="B71" s="177" t="s">
        <v>1214</v>
      </c>
      <c r="C71" s="178">
        <v>1475100</v>
      </c>
      <c r="D71" s="178">
        <v>1534100</v>
      </c>
      <c r="E71" s="352">
        <v>1595500</v>
      </c>
      <c r="K71" s="178">
        <v>1475100</v>
      </c>
      <c r="L71" s="463">
        <v>1475100</v>
      </c>
    </row>
    <row r="72" spans="1:12" ht="49.5" customHeight="1">
      <c r="A72" s="371" t="s">
        <v>819</v>
      </c>
      <c r="B72" s="300" t="s">
        <v>820</v>
      </c>
      <c r="C72" s="289">
        <f aca="true" t="shared" si="7" ref="C72:E74">C73</f>
        <v>1653917</v>
      </c>
      <c r="D72" s="289">
        <f t="shared" si="7"/>
        <v>1653917</v>
      </c>
      <c r="E72" s="356">
        <f t="shared" si="7"/>
        <v>1653917</v>
      </c>
      <c r="K72" s="289">
        <f>K73</f>
        <v>1653917</v>
      </c>
      <c r="L72" s="463">
        <v>1653917</v>
      </c>
    </row>
    <row r="73" spans="1:12" ht="15.75">
      <c r="A73" s="372" t="s">
        <v>821</v>
      </c>
      <c r="B73" s="299" t="s">
        <v>822</v>
      </c>
      <c r="C73" s="291">
        <f t="shared" si="7"/>
        <v>1653917</v>
      </c>
      <c r="D73" s="291">
        <f t="shared" si="7"/>
        <v>1653917</v>
      </c>
      <c r="E73" s="358">
        <f t="shared" si="7"/>
        <v>1653917</v>
      </c>
      <c r="K73" s="291">
        <f>K74</f>
        <v>1653917</v>
      </c>
      <c r="L73" s="463">
        <v>1653917</v>
      </c>
    </row>
    <row r="74" spans="1:12" ht="15.75">
      <c r="A74" s="367" t="s">
        <v>823</v>
      </c>
      <c r="B74" s="297" t="s">
        <v>824</v>
      </c>
      <c r="C74" s="288">
        <f>C75</f>
        <v>1653917</v>
      </c>
      <c r="D74" s="288">
        <f t="shared" si="7"/>
        <v>1653917</v>
      </c>
      <c r="E74" s="354">
        <f t="shared" si="7"/>
        <v>1653917</v>
      </c>
      <c r="K74" s="288">
        <f>K75</f>
        <v>1653917</v>
      </c>
      <c r="L74" s="463">
        <v>1653917</v>
      </c>
    </row>
    <row r="75" spans="1:12" ht="31.5">
      <c r="A75" s="367" t="s">
        <v>329</v>
      </c>
      <c r="B75" s="297" t="s">
        <v>62</v>
      </c>
      <c r="C75" s="288">
        <f>C76+C77</f>
        <v>1653917</v>
      </c>
      <c r="D75" s="288">
        <f>D76+D77</f>
        <v>1653917</v>
      </c>
      <c r="E75" s="354">
        <f>E76+E77</f>
        <v>1653917</v>
      </c>
      <c r="K75" s="288">
        <f>K76+K77</f>
        <v>1653917</v>
      </c>
      <c r="L75" s="463">
        <v>1653917</v>
      </c>
    </row>
    <row r="76" spans="1:12" ht="31.5">
      <c r="A76" s="361" t="s">
        <v>1252</v>
      </c>
      <c r="B76" s="181" t="s">
        <v>62</v>
      </c>
      <c r="C76" s="296">
        <v>1400000</v>
      </c>
      <c r="D76" s="296">
        <v>1400000</v>
      </c>
      <c r="E76" s="368">
        <v>1400000</v>
      </c>
      <c r="K76" s="296">
        <v>1400000</v>
      </c>
      <c r="L76" s="463">
        <v>1400000</v>
      </c>
    </row>
    <row r="77" spans="1:12" ht="31.5">
      <c r="A77" s="361" t="s">
        <v>1252</v>
      </c>
      <c r="B77" s="181" t="s">
        <v>62</v>
      </c>
      <c r="C77" s="296">
        <v>253917</v>
      </c>
      <c r="D77" s="296">
        <v>253917</v>
      </c>
      <c r="E77" s="368">
        <v>253917</v>
      </c>
      <c r="K77" s="296">
        <v>253917</v>
      </c>
      <c r="L77" s="463">
        <v>253917</v>
      </c>
    </row>
    <row r="78" spans="1:12" ht="31.5">
      <c r="A78" s="371" t="s">
        <v>825</v>
      </c>
      <c r="B78" s="294" t="s">
        <v>826</v>
      </c>
      <c r="C78" s="289">
        <f>C79+C83</f>
        <v>510000</v>
      </c>
      <c r="D78" s="289">
        <f>D79+D83</f>
        <v>510000</v>
      </c>
      <c r="E78" s="356">
        <f>E79+E83</f>
        <v>510000</v>
      </c>
      <c r="K78" s="289">
        <f>K79+K83</f>
        <v>510000</v>
      </c>
      <c r="L78" s="463">
        <v>510000</v>
      </c>
    </row>
    <row r="79" spans="1:12" ht="94.5">
      <c r="A79" s="372" t="s">
        <v>827</v>
      </c>
      <c r="B79" s="299" t="s">
        <v>828</v>
      </c>
      <c r="C79" s="291">
        <f aca="true" t="shared" si="8" ref="C79:E81">C80</f>
        <v>100000</v>
      </c>
      <c r="D79" s="291">
        <f t="shared" si="8"/>
        <v>100000</v>
      </c>
      <c r="E79" s="358">
        <f t="shared" si="8"/>
        <v>100000</v>
      </c>
      <c r="K79" s="291">
        <f>K80</f>
        <v>100000</v>
      </c>
      <c r="L79" s="463">
        <v>100000</v>
      </c>
    </row>
    <row r="80" spans="1:12" ht="110.25">
      <c r="A80" s="367" t="s">
        <v>829</v>
      </c>
      <c r="B80" s="297" t="s">
        <v>830</v>
      </c>
      <c r="C80" s="288">
        <f t="shared" si="8"/>
        <v>100000</v>
      </c>
      <c r="D80" s="288">
        <f t="shared" si="8"/>
        <v>100000</v>
      </c>
      <c r="E80" s="354">
        <f t="shared" si="8"/>
        <v>100000</v>
      </c>
      <c r="K80" s="288">
        <f>K81</f>
        <v>100000</v>
      </c>
      <c r="L80" s="463">
        <v>100000</v>
      </c>
    </row>
    <row r="81" spans="1:12" ht="110.25">
      <c r="A81" s="367" t="s">
        <v>831</v>
      </c>
      <c r="B81" s="297" t="s">
        <v>107</v>
      </c>
      <c r="C81" s="288">
        <f t="shared" si="8"/>
        <v>100000</v>
      </c>
      <c r="D81" s="288">
        <f t="shared" si="8"/>
        <v>100000</v>
      </c>
      <c r="E81" s="354">
        <f t="shared" si="8"/>
        <v>100000</v>
      </c>
      <c r="K81" s="288">
        <f>K82</f>
        <v>100000</v>
      </c>
      <c r="L81" s="463">
        <v>100000</v>
      </c>
    </row>
    <row r="82" spans="1:12" ht="110.25">
      <c r="A82" s="361" t="s">
        <v>305</v>
      </c>
      <c r="B82" s="181" t="s">
        <v>107</v>
      </c>
      <c r="C82" s="296">
        <v>100000</v>
      </c>
      <c r="D82" s="296">
        <v>100000</v>
      </c>
      <c r="E82" s="368">
        <v>100000</v>
      </c>
      <c r="K82" s="296">
        <v>100000</v>
      </c>
      <c r="L82" s="463">
        <v>100000</v>
      </c>
    </row>
    <row r="83" spans="1:12" ht="31.5">
      <c r="A83" s="372" t="s">
        <v>832</v>
      </c>
      <c r="B83" s="299" t="s">
        <v>833</v>
      </c>
      <c r="C83" s="291">
        <f>C84+C89</f>
        <v>410000</v>
      </c>
      <c r="D83" s="291">
        <f>D84+D89</f>
        <v>410000</v>
      </c>
      <c r="E83" s="358">
        <f>E84+E89</f>
        <v>410000</v>
      </c>
      <c r="K83" s="291">
        <f>K84+K89</f>
        <v>410000</v>
      </c>
      <c r="L83" s="463">
        <v>410000</v>
      </c>
    </row>
    <row r="84" spans="1:12" ht="33" customHeight="1">
      <c r="A84" s="367" t="s">
        <v>834</v>
      </c>
      <c r="B84" s="297" t="s">
        <v>835</v>
      </c>
      <c r="C84" s="288">
        <f>C85+C87</f>
        <v>310000</v>
      </c>
      <c r="D84" s="288">
        <f>D85+D87</f>
        <v>310000</v>
      </c>
      <c r="E84" s="354">
        <f>E85+E87</f>
        <v>310000</v>
      </c>
      <c r="K84" s="288">
        <f>K85+K87</f>
        <v>310000</v>
      </c>
      <c r="L84" s="463">
        <v>310000</v>
      </c>
    </row>
    <row r="85" spans="1:12" ht="66" customHeight="1">
      <c r="A85" s="367" t="s">
        <v>986</v>
      </c>
      <c r="B85" s="297" t="s">
        <v>984</v>
      </c>
      <c r="C85" s="288">
        <f>C86</f>
        <v>300000</v>
      </c>
      <c r="D85" s="288">
        <f>D86</f>
        <v>300000</v>
      </c>
      <c r="E85" s="354">
        <f>E86</f>
        <v>300000</v>
      </c>
      <c r="K85" s="288">
        <f>K86</f>
        <v>300000</v>
      </c>
      <c r="L85" s="463">
        <v>300000</v>
      </c>
    </row>
    <row r="86" spans="1:12" ht="62.25" customHeight="1">
      <c r="A86" s="361" t="s">
        <v>985</v>
      </c>
      <c r="B86" s="181" t="s">
        <v>984</v>
      </c>
      <c r="C86" s="296">
        <v>300000</v>
      </c>
      <c r="D86" s="296">
        <v>300000</v>
      </c>
      <c r="E86" s="368">
        <v>300000</v>
      </c>
      <c r="K86" s="296">
        <v>300000</v>
      </c>
      <c r="L86" s="463">
        <v>300000</v>
      </c>
    </row>
    <row r="87" spans="1:12" ht="50.25" customHeight="1">
      <c r="A87" s="367" t="s">
        <v>836</v>
      </c>
      <c r="B87" s="297" t="s">
        <v>321</v>
      </c>
      <c r="C87" s="288">
        <f>C88</f>
        <v>10000</v>
      </c>
      <c r="D87" s="288">
        <f>D88</f>
        <v>10000</v>
      </c>
      <c r="E87" s="354">
        <f>E88</f>
        <v>10000</v>
      </c>
      <c r="K87" s="288">
        <f>K88</f>
        <v>10000</v>
      </c>
      <c r="L87" s="463">
        <v>10000</v>
      </c>
    </row>
    <row r="88" spans="1:12" ht="48" customHeight="1">
      <c r="A88" s="361" t="s">
        <v>326</v>
      </c>
      <c r="B88" s="181" t="s">
        <v>321</v>
      </c>
      <c r="C88" s="296">
        <v>10000</v>
      </c>
      <c r="D88" s="296">
        <v>10000</v>
      </c>
      <c r="E88" s="368">
        <v>10000</v>
      </c>
      <c r="K88" s="296">
        <v>10000</v>
      </c>
      <c r="L88" s="463">
        <v>10000</v>
      </c>
    </row>
    <row r="89" spans="1:12" ht="63">
      <c r="A89" s="367" t="s">
        <v>837</v>
      </c>
      <c r="B89" s="297" t="s">
        <v>838</v>
      </c>
      <c r="C89" s="288">
        <f aca="true" t="shared" si="9" ref="C89:E90">C90</f>
        <v>100000</v>
      </c>
      <c r="D89" s="288">
        <f t="shared" si="9"/>
        <v>100000</v>
      </c>
      <c r="E89" s="354">
        <f t="shared" si="9"/>
        <v>100000</v>
      </c>
      <c r="K89" s="288">
        <f>K90</f>
        <v>100000</v>
      </c>
      <c r="L89" s="463">
        <v>100000</v>
      </c>
    </row>
    <row r="90" spans="1:12" ht="63">
      <c r="A90" s="373" t="s">
        <v>839</v>
      </c>
      <c r="B90" s="301" t="s">
        <v>108</v>
      </c>
      <c r="C90" s="288">
        <f t="shared" si="9"/>
        <v>100000</v>
      </c>
      <c r="D90" s="288">
        <f t="shared" si="9"/>
        <v>100000</v>
      </c>
      <c r="E90" s="354">
        <f t="shared" si="9"/>
        <v>100000</v>
      </c>
      <c r="K90" s="288">
        <f>K91</f>
        <v>100000</v>
      </c>
      <c r="L90" s="463">
        <v>100000</v>
      </c>
    </row>
    <row r="91" spans="1:12" ht="63">
      <c r="A91" s="374" t="s">
        <v>303</v>
      </c>
      <c r="B91" s="63" t="s">
        <v>108</v>
      </c>
      <c r="C91" s="296">
        <v>100000</v>
      </c>
      <c r="D91" s="296">
        <v>100000</v>
      </c>
      <c r="E91" s="368">
        <v>100000</v>
      </c>
      <c r="K91" s="296">
        <v>100000</v>
      </c>
      <c r="L91" s="463">
        <v>100000</v>
      </c>
    </row>
    <row r="92" spans="1:12" ht="15.75">
      <c r="A92" s="371" t="s">
        <v>840</v>
      </c>
      <c r="B92" s="294" t="s">
        <v>841</v>
      </c>
      <c r="C92" s="289">
        <f>C93</f>
        <v>55040</v>
      </c>
      <c r="D92" s="289">
        <f>D93</f>
        <v>0</v>
      </c>
      <c r="E92" s="356">
        <f>E93</f>
        <v>0</v>
      </c>
      <c r="K92" s="289">
        <f>K93</f>
        <v>55040</v>
      </c>
      <c r="L92" s="463">
        <v>55040</v>
      </c>
    </row>
    <row r="93" spans="1:12" ht="47.25">
      <c r="A93" s="372" t="s">
        <v>1267</v>
      </c>
      <c r="B93" s="299" t="s">
        <v>1268</v>
      </c>
      <c r="C93" s="291">
        <f>C94+C97+C100+C103+C106</f>
        <v>55040</v>
      </c>
      <c r="D93" s="291">
        <f>D94+D97+D100+D103+D106</f>
        <v>0</v>
      </c>
      <c r="E93" s="358">
        <f>E94+E97+E100+E103+E106</f>
        <v>0</v>
      </c>
      <c r="K93" s="291">
        <f>K94+K97+K100+K103+K106</f>
        <v>55040</v>
      </c>
      <c r="L93" s="463">
        <v>55040</v>
      </c>
    </row>
    <row r="94" spans="1:12" ht="66.75" customHeight="1">
      <c r="A94" s="367" t="s">
        <v>1269</v>
      </c>
      <c r="B94" s="297" t="s">
        <v>1270</v>
      </c>
      <c r="C94" s="288">
        <f aca="true" t="shared" si="10" ref="C94:E107">C95</f>
        <v>1040</v>
      </c>
      <c r="D94" s="288">
        <f t="shared" si="10"/>
        <v>0</v>
      </c>
      <c r="E94" s="354">
        <f t="shared" si="10"/>
        <v>0</v>
      </c>
      <c r="K94" s="288">
        <f>K95</f>
        <v>1040</v>
      </c>
      <c r="L94" s="463">
        <v>1040</v>
      </c>
    </row>
    <row r="95" spans="1:12" ht="100.5" customHeight="1">
      <c r="A95" s="375" t="s">
        <v>1271</v>
      </c>
      <c r="B95" s="302" t="s">
        <v>1272</v>
      </c>
      <c r="C95" s="303">
        <f>C96</f>
        <v>1040</v>
      </c>
      <c r="D95" s="303">
        <f t="shared" si="10"/>
        <v>0</v>
      </c>
      <c r="E95" s="376">
        <f t="shared" si="10"/>
        <v>0</v>
      </c>
      <c r="K95" s="303">
        <f>K96</f>
        <v>1040</v>
      </c>
      <c r="L95" s="463">
        <v>1040</v>
      </c>
    </row>
    <row r="96" spans="1:12" ht="95.25" customHeight="1">
      <c r="A96" s="361" t="s">
        <v>1426</v>
      </c>
      <c r="B96" s="181" t="s">
        <v>1272</v>
      </c>
      <c r="C96" s="178">
        <v>1040</v>
      </c>
      <c r="D96" s="178">
        <v>0</v>
      </c>
      <c r="E96" s="352">
        <v>0</v>
      </c>
      <c r="K96" s="178">
        <v>1040</v>
      </c>
      <c r="L96" s="463">
        <v>1040</v>
      </c>
    </row>
    <row r="97" spans="1:12" ht="98.25" customHeight="1">
      <c r="A97" s="367" t="s">
        <v>1273</v>
      </c>
      <c r="B97" s="297" t="s">
        <v>1276</v>
      </c>
      <c r="C97" s="288">
        <f t="shared" si="10"/>
        <v>9000</v>
      </c>
      <c r="D97" s="288">
        <f t="shared" si="10"/>
        <v>0</v>
      </c>
      <c r="E97" s="354">
        <f t="shared" si="10"/>
        <v>0</v>
      </c>
      <c r="K97" s="288">
        <f>K98</f>
        <v>9000</v>
      </c>
      <c r="L97" s="463">
        <v>9000</v>
      </c>
    </row>
    <row r="98" spans="1:12" ht="126.75" customHeight="1">
      <c r="A98" s="361" t="s">
        <v>1274</v>
      </c>
      <c r="B98" s="181" t="s">
        <v>1275</v>
      </c>
      <c r="C98" s="178">
        <f>C99</f>
        <v>9000</v>
      </c>
      <c r="D98" s="178">
        <f t="shared" si="10"/>
        <v>0</v>
      </c>
      <c r="E98" s="352">
        <f t="shared" si="10"/>
        <v>0</v>
      </c>
      <c r="K98" s="178">
        <f>K99</f>
        <v>9000</v>
      </c>
      <c r="L98" s="463">
        <v>9000</v>
      </c>
    </row>
    <row r="99" spans="1:12" ht="126.75" customHeight="1">
      <c r="A99" s="361" t="s">
        <v>1427</v>
      </c>
      <c r="B99" s="181" t="s">
        <v>1275</v>
      </c>
      <c r="C99" s="178">
        <v>9000</v>
      </c>
      <c r="D99" s="178">
        <v>0</v>
      </c>
      <c r="E99" s="352">
        <v>0</v>
      </c>
      <c r="K99" s="178">
        <v>9000</v>
      </c>
      <c r="L99" s="463">
        <v>9000</v>
      </c>
    </row>
    <row r="100" spans="1:12" ht="63.75" customHeight="1">
      <c r="A100" s="367" t="s">
        <v>1277</v>
      </c>
      <c r="B100" s="297" t="s">
        <v>1280</v>
      </c>
      <c r="C100" s="288">
        <f t="shared" si="10"/>
        <v>6000</v>
      </c>
      <c r="D100" s="288">
        <f t="shared" si="10"/>
        <v>0</v>
      </c>
      <c r="E100" s="354">
        <f t="shared" si="10"/>
        <v>0</v>
      </c>
      <c r="K100" s="288">
        <f>K101</f>
        <v>6000</v>
      </c>
      <c r="L100" s="463">
        <v>6000</v>
      </c>
    </row>
    <row r="101" spans="1:12" ht="75" customHeight="1">
      <c r="A101" s="361" t="s">
        <v>1278</v>
      </c>
      <c r="B101" s="188" t="s">
        <v>1279</v>
      </c>
      <c r="C101" s="178">
        <f>C102</f>
        <v>6000</v>
      </c>
      <c r="D101" s="178">
        <f t="shared" si="10"/>
        <v>0</v>
      </c>
      <c r="E101" s="352">
        <f t="shared" si="10"/>
        <v>0</v>
      </c>
      <c r="K101" s="178">
        <f>K102</f>
        <v>6000</v>
      </c>
      <c r="L101" s="463">
        <v>6000</v>
      </c>
    </row>
    <row r="102" spans="1:12" ht="75.75" customHeight="1">
      <c r="A102" s="361" t="s">
        <v>1428</v>
      </c>
      <c r="B102" s="188" t="s">
        <v>1279</v>
      </c>
      <c r="C102" s="178">
        <v>6000</v>
      </c>
      <c r="D102" s="178">
        <v>0</v>
      </c>
      <c r="E102" s="352">
        <v>0</v>
      </c>
      <c r="K102" s="178">
        <v>6000</v>
      </c>
      <c r="L102" s="463">
        <v>6000</v>
      </c>
    </row>
    <row r="103" spans="1:12" ht="67.5" customHeight="1">
      <c r="A103" s="367" t="s">
        <v>1281</v>
      </c>
      <c r="B103" s="304" t="s">
        <v>1284</v>
      </c>
      <c r="C103" s="288">
        <f t="shared" si="10"/>
        <v>30000</v>
      </c>
      <c r="D103" s="288">
        <f t="shared" si="10"/>
        <v>0</v>
      </c>
      <c r="E103" s="354">
        <f t="shared" si="10"/>
        <v>0</v>
      </c>
      <c r="K103" s="288">
        <f>K104</f>
        <v>30000</v>
      </c>
      <c r="L103" s="463">
        <v>30000</v>
      </c>
    </row>
    <row r="104" spans="1:12" ht="78.75" customHeight="1">
      <c r="A104" s="361" t="s">
        <v>1282</v>
      </c>
      <c r="B104" s="189" t="s">
        <v>1283</v>
      </c>
      <c r="C104" s="178">
        <f>C105</f>
        <v>30000</v>
      </c>
      <c r="D104" s="178">
        <f t="shared" si="10"/>
        <v>0</v>
      </c>
      <c r="E104" s="352">
        <f t="shared" si="10"/>
        <v>0</v>
      </c>
      <c r="K104" s="178">
        <f>K105</f>
        <v>30000</v>
      </c>
      <c r="L104" s="463">
        <v>30000</v>
      </c>
    </row>
    <row r="105" spans="1:12" ht="75" customHeight="1">
      <c r="A105" s="361" t="s">
        <v>1429</v>
      </c>
      <c r="B105" s="189" t="s">
        <v>1283</v>
      </c>
      <c r="C105" s="178">
        <v>30000</v>
      </c>
      <c r="D105" s="178">
        <v>0</v>
      </c>
      <c r="E105" s="352">
        <v>0</v>
      </c>
      <c r="K105" s="178">
        <v>30000</v>
      </c>
      <c r="L105" s="463">
        <v>30000</v>
      </c>
    </row>
    <row r="106" spans="1:12" ht="72" customHeight="1">
      <c r="A106" s="367" t="s">
        <v>1285</v>
      </c>
      <c r="B106" s="304" t="s">
        <v>1288</v>
      </c>
      <c r="C106" s="288">
        <f t="shared" si="10"/>
        <v>9000</v>
      </c>
      <c r="D106" s="288">
        <f t="shared" si="10"/>
        <v>0</v>
      </c>
      <c r="E106" s="354">
        <f t="shared" si="10"/>
        <v>0</v>
      </c>
      <c r="K106" s="288">
        <f>K107</f>
        <v>9000</v>
      </c>
      <c r="L106" s="463">
        <v>9000</v>
      </c>
    </row>
    <row r="107" spans="1:12" ht="93" customHeight="1">
      <c r="A107" s="377" t="s">
        <v>1286</v>
      </c>
      <c r="B107" s="189" t="s">
        <v>1287</v>
      </c>
      <c r="C107" s="178">
        <f>C108</f>
        <v>9000</v>
      </c>
      <c r="D107" s="178">
        <f t="shared" si="10"/>
        <v>0</v>
      </c>
      <c r="E107" s="352">
        <f t="shared" si="10"/>
        <v>0</v>
      </c>
      <c r="K107" s="178">
        <f>K108</f>
        <v>9000</v>
      </c>
      <c r="L107" s="463">
        <v>9000</v>
      </c>
    </row>
    <row r="108" spans="1:12" ht="93" customHeight="1">
      <c r="A108" s="377" t="s">
        <v>1430</v>
      </c>
      <c r="B108" s="189" t="s">
        <v>1287</v>
      </c>
      <c r="C108" s="178">
        <v>9000</v>
      </c>
      <c r="D108" s="178">
        <v>0</v>
      </c>
      <c r="E108" s="352">
        <v>0</v>
      </c>
      <c r="K108" s="178">
        <v>9000</v>
      </c>
      <c r="L108" s="463">
        <v>9000</v>
      </c>
    </row>
    <row r="109" spans="1:12" ht="15.75">
      <c r="A109" s="371" t="s">
        <v>842</v>
      </c>
      <c r="B109" s="294" t="s">
        <v>843</v>
      </c>
      <c r="C109" s="289">
        <f aca="true" t="shared" si="11" ref="C109:E110">C110</f>
        <v>0</v>
      </c>
      <c r="D109" s="289">
        <f t="shared" si="11"/>
        <v>0</v>
      </c>
      <c r="E109" s="356">
        <f t="shared" si="11"/>
        <v>0</v>
      </c>
      <c r="K109" s="289">
        <f>K110</f>
        <v>0</v>
      </c>
      <c r="L109" s="463">
        <v>0</v>
      </c>
    </row>
    <row r="110" spans="1:12" ht="15.75">
      <c r="A110" s="372" t="s">
        <v>844</v>
      </c>
      <c r="B110" s="299" t="s">
        <v>845</v>
      </c>
      <c r="C110" s="291">
        <f t="shared" si="11"/>
        <v>0</v>
      </c>
      <c r="D110" s="291">
        <f t="shared" si="11"/>
        <v>0</v>
      </c>
      <c r="E110" s="358">
        <f t="shared" si="11"/>
        <v>0</v>
      </c>
      <c r="K110" s="291">
        <f>K111</f>
        <v>0</v>
      </c>
      <c r="L110" s="463">
        <v>0</v>
      </c>
    </row>
    <row r="111" spans="1:12" ht="31.5">
      <c r="A111" s="367" t="s">
        <v>331</v>
      </c>
      <c r="B111" s="297" t="s">
        <v>49</v>
      </c>
      <c r="C111" s="288">
        <f>SUM(C112:C113)</f>
        <v>0</v>
      </c>
      <c r="D111" s="288">
        <f>SUM(D112:D113)</f>
        <v>0</v>
      </c>
      <c r="E111" s="354">
        <f>SUM(E112:E113)</f>
        <v>0</v>
      </c>
      <c r="K111" s="288">
        <f>SUM(K112:K113)</f>
        <v>0</v>
      </c>
      <c r="L111" s="463">
        <v>0</v>
      </c>
    </row>
    <row r="112" spans="1:11" ht="31.5">
      <c r="A112" s="361" t="s">
        <v>63</v>
      </c>
      <c r="B112" s="305" t="s">
        <v>146</v>
      </c>
      <c r="C112" s="296"/>
      <c r="D112" s="296"/>
      <c r="E112" s="368"/>
      <c r="K112" s="296"/>
    </row>
    <row r="113" spans="1:11" ht="31.5">
      <c r="A113" s="361" t="s">
        <v>145</v>
      </c>
      <c r="B113" s="181" t="s">
        <v>146</v>
      </c>
      <c r="C113" s="296"/>
      <c r="D113" s="296"/>
      <c r="E113" s="368"/>
      <c r="K113" s="296"/>
    </row>
    <row r="114" spans="1:12" ht="15.75">
      <c r="A114" s="503" t="s">
        <v>846</v>
      </c>
      <c r="B114" s="504" t="s">
        <v>64</v>
      </c>
      <c r="C114" s="471">
        <f>C115+C211+C203</f>
        <v>324802744.05999994</v>
      </c>
      <c r="D114" s="471">
        <f>D115+D211+D203</f>
        <v>259864006.23</v>
      </c>
      <c r="E114" s="471">
        <f>E115+E211+E203</f>
        <v>251270004.56</v>
      </c>
      <c r="F114" s="271">
        <v>253570491.84</v>
      </c>
      <c r="G114" s="271">
        <v>240377363.05</v>
      </c>
      <c r="H114" s="271">
        <v>235533100.3</v>
      </c>
      <c r="K114" s="471">
        <v>302968810.09999996</v>
      </c>
      <c r="L114" s="463">
        <v>310868091.77</v>
      </c>
    </row>
    <row r="115" spans="1:12" ht="47.25">
      <c r="A115" s="371" t="s">
        <v>847</v>
      </c>
      <c r="B115" s="294" t="s">
        <v>848</v>
      </c>
      <c r="C115" s="289">
        <f>C116+C123+C170+C192</f>
        <v>324799299.03</v>
      </c>
      <c r="D115" s="289">
        <f>D116+D123+D170+D192</f>
        <v>259864006.23</v>
      </c>
      <c r="E115" s="289">
        <f>E116+E123+E170+E192</f>
        <v>251270004.56</v>
      </c>
      <c r="F115" s="271">
        <v>253570491.84</v>
      </c>
      <c r="G115" s="271">
        <v>240377363.05</v>
      </c>
      <c r="H115" s="271">
        <v>235533100.3</v>
      </c>
      <c r="K115" s="289">
        <v>302989212.01</v>
      </c>
      <c r="L115" s="463">
        <v>310864646.74</v>
      </c>
    </row>
    <row r="116" spans="1:12" ht="31.5">
      <c r="A116" s="363" t="s">
        <v>1066</v>
      </c>
      <c r="B116" s="294" t="s">
        <v>849</v>
      </c>
      <c r="C116" s="306">
        <f>C117+C120</f>
        <v>123173050</v>
      </c>
      <c r="D116" s="306">
        <f>D117+D120</f>
        <v>103087900</v>
      </c>
      <c r="E116" s="443">
        <f>E117+E120</f>
        <v>101831400</v>
      </c>
      <c r="F116" s="271">
        <v>120987930</v>
      </c>
      <c r="G116" s="271">
        <v>103087900</v>
      </c>
      <c r="H116" s="271">
        <v>103087900</v>
      </c>
      <c r="K116" s="306">
        <v>123173050</v>
      </c>
      <c r="L116" s="463">
        <v>123173050</v>
      </c>
    </row>
    <row r="117" spans="1:12" ht="22.5" customHeight="1">
      <c r="A117" s="367" t="s">
        <v>1065</v>
      </c>
      <c r="B117" s="444" t="s">
        <v>850</v>
      </c>
      <c r="C117" s="288">
        <f aca="true" t="shared" si="12" ref="C117:E118">C118</f>
        <v>110565900</v>
      </c>
      <c r="D117" s="288">
        <f t="shared" si="12"/>
        <v>103087900</v>
      </c>
      <c r="E117" s="354">
        <f t="shared" si="12"/>
        <v>101831400</v>
      </c>
      <c r="F117" s="271">
        <v>108400700</v>
      </c>
      <c r="G117" s="271">
        <v>103087900</v>
      </c>
      <c r="H117" s="271">
        <v>103087900</v>
      </c>
      <c r="K117" s="288">
        <v>110565900</v>
      </c>
      <c r="L117" s="463">
        <v>110565900</v>
      </c>
    </row>
    <row r="118" spans="1:12" ht="31.5">
      <c r="A118" s="367" t="s">
        <v>1064</v>
      </c>
      <c r="B118" s="314" t="s">
        <v>26</v>
      </c>
      <c r="C118" s="288">
        <f t="shared" si="12"/>
        <v>110565900</v>
      </c>
      <c r="D118" s="288">
        <f t="shared" si="12"/>
        <v>103087900</v>
      </c>
      <c r="E118" s="354">
        <f t="shared" si="12"/>
        <v>101831400</v>
      </c>
      <c r="F118" s="271">
        <v>108400700</v>
      </c>
      <c r="G118" s="271">
        <v>103087900</v>
      </c>
      <c r="H118" s="271">
        <v>103087900</v>
      </c>
      <c r="K118" s="288">
        <v>110565900</v>
      </c>
      <c r="L118" s="463">
        <v>110565900</v>
      </c>
    </row>
    <row r="119" spans="1:12" ht="31.5">
      <c r="A119" s="361" t="s">
        <v>1063</v>
      </c>
      <c r="B119" s="445" t="s">
        <v>26</v>
      </c>
      <c r="C119" s="296">
        <v>110565900</v>
      </c>
      <c r="D119" s="296">
        <v>103087900</v>
      </c>
      <c r="E119" s="368">
        <v>101831400</v>
      </c>
      <c r="F119" s="428">
        <v>108400700</v>
      </c>
      <c r="G119" s="429">
        <v>103087900</v>
      </c>
      <c r="H119" s="429">
        <v>103087900</v>
      </c>
      <c r="K119" s="296">
        <v>110565900</v>
      </c>
      <c r="L119" s="463">
        <v>110565900</v>
      </c>
    </row>
    <row r="120" spans="1:12" ht="31.5">
      <c r="A120" s="367" t="s">
        <v>1067</v>
      </c>
      <c r="B120" s="314" t="s">
        <v>179</v>
      </c>
      <c r="C120" s="288">
        <f aca="true" t="shared" si="13" ref="C120:E121">C121</f>
        <v>12607150</v>
      </c>
      <c r="D120" s="288">
        <f t="shared" si="13"/>
        <v>0</v>
      </c>
      <c r="E120" s="354">
        <f t="shared" si="13"/>
        <v>0</v>
      </c>
      <c r="F120" s="271"/>
      <c r="G120" s="271"/>
      <c r="H120" s="271"/>
      <c r="K120" s="288">
        <v>12607150</v>
      </c>
      <c r="L120" s="463">
        <v>12607150</v>
      </c>
    </row>
    <row r="121" spans="1:12" ht="47.25">
      <c r="A121" s="367" t="s">
        <v>1068</v>
      </c>
      <c r="B121" s="314" t="s">
        <v>171</v>
      </c>
      <c r="C121" s="288">
        <f t="shared" si="13"/>
        <v>12607150</v>
      </c>
      <c r="D121" s="288">
        <f t="shared" si="13"/>
        <v>0</v>
      </c>
      <c r="E121" s="354">
        <f t="shared" si="13"/>
        <v>0</v>
      </c>
      <c r="F121" s="271"/>
      <c r="G121" s="271"/>
      <c r="H121" s="271"/>
      <c r="K121" s="288">
        <v>12607150</v>
      </c>
      <c r="L121" s="463">
        <v>12607150</v>
      </c>
    </row>
    <row r="122" spans="1:12" ht="48" customHeight="1">
      <c r="A122" s="361" t="s">
        <v>1069</v>
      </c>
      <c r="B122" s="445" t="s">
        <v>171</v>
      </c>
      <c r="C122" s="178">
        <v>12607150</v>
      </c>
      <c r="D122" s="296"/>
      <c r="E122" s="368"/>
      <c r="F122" s="344">
        <v>12587230</v>
      </c>
      <c r="G122" s="430"/>
      <c r="H122" s="430"/>
      <c r="K122" s="178">
        <v>12607150</v>
      </c>
      <c r="L122" s="463">
        <v>12607150</v>
      </c>
    </row>
    <row r="123" spans="1:12" ht="31.5">
      <c r="A123" s="363" t="s">
        <v>1070</v>
      </c>
      <c r="B123" s="513" t="s">
        <v>851</v>
      </c>
      <c r="C123" s="306">
        <f>C127+C130+C136+C139+C160+C142+C157+C151+C148+C154+C124+C145+C133</f>
        <v>67587824.8</v>
      </c>
      <c r="D123" s="306">
        <f>D127+D130+D136+D139+D160+D142+D157+D151+D148+D154+D124+D145</f>
        <v>15811536.940000001</v>
      </c>
      <c r="E123" s="306">
        <f>E127+E130+E136+E139+E160+E142+E157+E151+E148+E154+E124+E145</f>
        <v>8511045.02</v>
      </c>
      <c r="F123" s="271">
        <v>5077648.83</v>
      </c>
      <c r="G123" s="271">
        <v>415800</v>
      </c>
      <c r="H123" s="271">
        <v>415800</v>
      </c>
      <c r="K123" s="306">
        <v>51095340.870000005</v>
      </c>
      <c r="L123" s="463">
        <v>58994622.54</v>
      </c>
    </row>
    <row r="124" spans="1:12" ht="37.5" customHeight="1">
      <c r="A124" s="372" t="s">
        <v>1238</v>
      </c>
      <c r="B124" s="315" t="s">
        <v>1530</v>
      </c>
      <c r="C124" s="291">
        <f aca="true" t="shared" si="14" ref="C124:E125">C125</f>
        <v>11022836.42</v>
      </c>
      <c r="D124" s="291">
        <f t="shared" si="14"/>
        <v>1000000</v>
      </c>
      <c r="E124" s="358">
        <f>E125</f>
        <v>0</v>
      </c>
      <c r="F124" s="271"/>
      <c r="G124" s="271"/>
      <c r="H124" s="271"/>
      <c r="K124" s="291">
        <v>5446718</v>
      </c>
      <c r="L124" s="463">
        <v>5446718</v>
      </c>
    </row>
    <row r="125" spans="1:12" ht="54" customHeight="1">
      <c r="A125" s="367" t="s">
        <v>1239</v>
      </c>
      <c r="B125" s="316" t="s">
        <v>1531</v>
      </c>
      <c r="C125" s="288">
        <f>C126</f>
        <v>11022836.42</v>
      </c>
      <c r="D125" s="288">
        <f t="shared" si="14"/>
        <v>1000000</v>
      </c>
      <c r="E125" s="354">
        <f t="shared" si="14"/>
        <v>0</v>
      </c>
      <c r="F125" s="271"/>
      <c r="G125" s="271"/>
      <c r="H125" s="271"/>
      <c r="K125" s="288">
        <v>5446718</v>
      </c>
      <c r="L125" s="463">
        <v>5446718</v>
      </c>
    </row>
    <row r="126" spans="1:12" ht="78" customHeight="1">
      <c r="A126" s="378" t="s">
        <v>1240</v>
      </c>
      <c r="B126" s="318" t="s">
        <v>1540</v>
      </c>
      <c r="C126" s="307">
        <v>11022836.42</v>
      </c>
      <c r="D126" s="307">
        <v>1000000</v>
      </c>
      <c r="E126" s="483">
        <v>0</v>
      </c>
      <c r="F126" s="271"/>
      <c r="G126" s="271"/>
      <c r="H126" s="271"/>
      <c r="K126" s="307">
        <v>5446718</v>
      </c>
      <c r="L126" s="463">
        <v>5446718</v>
      </c>
    </row>
    <row r="127" spans="1:12" ht="96.75" customHeight="1">
      <c r="A127" s="372" t="s">
        <v>1071</v>
      </c>
      <c r="B127" s="315" t="s">
        <v>852</v>
      </c>
      <c r="C127" s="291">
        <f aca="true" t="shared" si="15" ref="C127:E128">C128</f>
        <v>7899281.67</v>
      </c>
      <c r="D127" s="291">
        <f t="shared" si="15"/>
        <v>7590514.96</v>
      </c>
      <c r="E127" s="358">
        <f>E128</f>
        <v>8053665.02</v>
      </c>
      <c r="F127" s="271"/>
      <c r="G127" s="271"/>
      <c r="H127" s="271"/>
      <c r="K127" s="291">
        <v>0</v>
      </c>
      <c r="L127" s="463">
        <v>7899281.67</v>
      </c>
    </row>
    <row r="128" spans="1:12" ht="112.5" customHeight="1">
      <c r="A128" s="367" t="s">
        <v>1072</v>
      </c>
      <c r="B128" s="316" t="s">
        <v>296</v>
      </c>
      <c r="C128" s="288">
        <f>C129</f>
        <v>7899281.67</v>
      </c>
      <c r="D128" s="288">
        <f t="shared" si="15"/>
        <v>7590514.96</v>
      </c>
      <c r="E128" s="354">
        <f t="shared" si="15"/>
        <v>8053665.02</v>
      </c>
      <c r="F128" s="271"/>
      <c r="G128" s="271"/>
      <c r="H128" s="271"/>
      <c r="K128" s="288">
        <v>0</v>
      </c>
      <c r="L128" s="463">
        <v>7899281.67</v>
      </c>
    </row>
    <row r="129" spans="1:12" ht="114.75" customHeight="1">
      <c r="A129" s="378" t="s">
        <v>1073</v>
      </c>
      <c r="B129" s="311" t="s">
        <v>296</v>
      </c>
      <c r="C129" s="178">
        <v>7899281.67</v>
      </c>
      <c r="D129" s="178">
        <v>7590514.96</v>
      </c>
      <c r="E129" s="352">
        <v>8053665.02</v>
      </c>
      <c r="F129" s="271"/>
      <c r="G129" s="271"/>
      <c r="H129" s="271"/>
      <c r="K129" s="178"/>
      <c r="L129" s="463">
        <v>7899281.67</v>
      </c>
    </row>
    <row r="130" spans="1:12" ht="63" customHeight="1">
      <c r="A130" s="372" t="s">
        <v>1074</v>
      </c>
      <c r="B130" s="317" t="s">
        <v>1497</v>
      </c>
      <c r="C130" s="291">
        <f aca="true" t="shared" si="16" ref="C130:E131">C131</f>
        <v>2238602.2</v>
      </c>
      <c r="D130" s="291">
        <f t="shared" si="16"/>
        <v>0</v>
      </c>
      <c r="E130" s="358">
        <f t="shared" si="16"/>
        <v>0</v>
      </c>
      <c r="I130" s="455" t="s">
        <v>1504</v>
      </c>
      <c r="K130" s="291">
        <f>K131</f>
        <v>2238602.2</v>
      </c>
      <c r="L130" s="463">
        <v>2238602.2</v>
      </c>
    </row>
    <row r="131" spans="1:12" ht="65.25" customHeight="1">
      <c r="A131" s="367" t="s">
        <v>1075</v>
      </c>
      <c r="B131" s="314" t="s">
        <v>1498</v>
      </c>
      <c r="C131" s="288">
        <f t="shared" si="16"/>
        <v>2238602.2</v>
      </c>
      <c r="D131" s="288">
        <f t="shared" si="16"/>
        <v>0</v>
      </c>
      <c r="E131" s="354">
        <f t="shared" si="16"/>
        <v>0</v>
      </c>
      <c r="K131" s="288">
        <f>K132</f>
        <v>2238602.2</v>
      </c>
      <c r="L131" s="463">
        <v>2238602.2</v>
      </c>
    </row>
    <row r="132" spans="1:12" ht="66" customHeight="1">
      <c r="A132" s="378" t="s">
        <v>1076</v>
      </c>
      <c r="B132" s="311" t="s">
        <v>1498</v>
      </c>
      <c r="C132" s="178">
        <v>2238602.2</v>
      </c>
      <c r="D132" s="178"/>
      <c r="E132" s="352"/>
      <c r="K132" s="178">
        <v>2238602.2</v>
      </c>
      <c r="L132" s="463">
        <v>2238602.2</v>
      </c>
    </row>
    <row r="133" spans="1:11" ht="63">
      <c r="A133" s="372" t="s">
        <v>1607</v>
      </c>
      <c r="B133" s="317" t="s">
        <v>1608</v>
      </c>
      <c r="C133" s="291">
        <f aca="true" t="shared" si="17" ref="C133:E134">C134</f>
        <v>2401070.39</v>
      </c>
      <c r="D133" s="291">
        <f t="shared" si="17"/>
        <v>0</v>
      </c>
      <c r="E133" s="291">
        <f t="shared" si="17"/>
        <v>0</v>
      </c>
      <c r="K133" s="178"/>
    </row>
    <row r="134" spans="1:11" ht="78.75">
      <c r="A134" s="367" t="s">
        <v>1609</v>
      </c>
      <c r="B134" s="314" t="s">
        <v>1610</v>
      </c>
      <c r="C134" s="288">
        <f t="shared" si="17"/>
        <v>2401070.39</v>
      </c>
      <c r="D134" s="288">
        <f t="shared" si="17"/>
        <v>0</v>
      </c>
      <c r="E134" s="288">
        <f t="shared" si="17"/>
        <v>0</v>
      </c>
      <c r="K134" s="178"/>
    </row>
    <row r="135" spans="1:11" ht="85.5" customHeight="1">
      <c r="A135" s="378" t="s">
        <v>1611</v>
      </c>
      <c r="B135" s="500" t="s">
        <v>1612</v>
      </c>
      <c r="C135" s="178">
        <v>2401070.39</v>
      </c>
      <c r="D135" s="178">
        <v>0</v>
      </c>
      <c r="E135" s="352">
        <v>0</v>
      </c>
      <c r="K135" s="178"/>
    </row>
    <row r="136" spans="1:12" ht="31.5">
      <c r="A136" s="372" t="s">
        <v>1077</v>
      </c>
      <c r="B136" s="317" t="s">
        <v>1002</v>
      </c>
      <c r="C136" s="291">
        <f aca="true" t="shared" si="18" ref="C136:E137">C137</f>
        <v>683721.76</v>
      </c>
      <c r="D136" s="291">
        <f t="shared" si="18"/>
        <v>0</v>
      </c>
      <c r="E136" s="358">
        <f t="shared" si="18"/>
        <v>0</v>
      </c>
      <c r="K136" s="291">
        <f>K137</f>
        <v>683721.76</v>
      </c>
      <c r="L136" s="463">
        <v>683721.76</v>
      </c>
    </row>
    <row r="137" spans="1:12" ht="47.25">
      <c r="A137" s="367" t="s">
        <v>1078</v>
      </c>
      <c r="B137" s="314" t="s">
        <v>1001</v>
      </c>
      <c r="C137" s="288">
        <f t="shared" si="18"/>
        <v>683721.76</v>
      </c>
      <c r="D137" s="288">
        <f t="shared" si="18"/>
        <v>0</v>
      </c>
      <c r="E137" s="354">
        <f t="shared" si="18"/>
        <v>0</v>
      </c>
      <c r="K137" s="288">
        <f>K138</f>
        <v>683721.76</v>
      </c>
      <c r="L137" s="463">
        <v>683721.76</v>
      </c>
    </row>
    <row r="138" spans="1:12" ht="33" customHeight="1">
      <c r="A138" s="379" t="s">
        <v>1079</v>
      </c>
      <c r="B138" s="500" t="s">
        <v>1000</v>
      </c>
      <c r="C138" s="307">
        <v>683721.76</v>
      </c>
      <c r="D138" s="307"/>
      <c r="E138" s="364"/>
      <c r="K138" s="307">
        <v>683721.76</v>
      </c>
      <c r="L138" s="463">
        <v>683721.76</v>
      </c>
    </row>
    <row r="139" spans="1:12" ht="33" customHeight="1">
      <c r="A139" s="372" t="s">
        <v>1080</v>
      </c>
      <c r="B139" s="317" t="s">
        <v>853</v>
      </c>
      <c r="C139" s="291">
        <f aca="true" t="shared" si="19" ref="C139:E140">C140</f>
        <v>0</v>
      </c>
      <c r="D139" s="291">
        <f t="shared" si="19"/>
        <v>0</v>
      </c>
      <c r="E139" s="358">
        <f t="shared" si="19"/>
        <v>0</v>
      </c>
      <c r="K139" s="291">
        <f>K140</f>
        <v>0</v>
      </c>
      <c r="L139" s="463">
        <v>0</v>
      </c>
    </row>
    <row r="140" spans="1:12" ht="42" customHeight="1">
      <c r="A140" s="367" t="s">
        <v>1081</v>
      </c>
      <c r="B140" s="314" t="s">
        <v>764</v>
      </c>
      <c r="C140" s="288">
        <f t="shared" si="19"/>
        <v>0</v>
      </c>
      <c r="D140" s="288">
        <f t="shared" si="19"/>
        <v>0</v>
      </c>
      <c r="E140" s="354">
        <f t="shared" si="19"/>
        <v>0</v>
      </c>
      <c r="K140" s="288">
        <f>K141</f>
        <v>0</v>
      </c>
      <c r="L140" s="463">
        <v>0</v>
      </c>
    </row>
    <row r="141" spans="1:11" ht="39" customHeight="1">
      <c r="A141" s="378" t="s">
        <v>1082</v>
      </c>
      <c r="B141" s="311" t="s">
        <v>764</v>
      </c>
      <c r="C141" s="178"/>
      <c r="D141" s="178"/>
      <c r="E141" s="352"/>
      <c r="K141" s="178"/>
    </row>
    <row r="142" spans="1:12" ht="69.75" customHeight="1">
      <c r="A142" s="372" t="s">
        <v>1220</v>
      </c>
      <c r="B142" s="317" t="s">
        <v>1221</v>
      </c>
      <c r="C142" s="291">
        <f aca="true" t="shared" si="20" ref="C142:E146">C143</f>
        <v>0</v>
      </c>
      <c r="D142" s="291">
        <f t="shared" si="20"/>
        <v>0</v>
      </c>
      <c r="E142" s="358">
        <f t="shared" si="20"/>
        <v>0</v>
      </c>
      <c r="K142" s="291">
        <f>K143</f>
        <v>0</v>
      </c>
      <c r="L142" s="463">
        <v>0</v>
      </c>
    </row>
    <row r="143" spans="1:12" ht="82.5" customHeight="1">
      <c r="A143" s="367" t="s">
        <v>1219</v>
      </c>
      <c r="B143" s="314" t="s">
        <v>1222</v>
      </c>
      <c r="C143" s="288">
        <f t="shared" si="20"/>
        <v>0</v>
      </c>
      <c r="D143" s="288">
        <f t="shared" si="20"/>
        <v>0</v>
      </c>
      <c r="E143" s="354">
        <f t="shared" si="20"/>
        <v>0</v>
      </c>
      <c r="K143" s="288">
        <f>K144</f>
        <v>0</v>
      </c>
      <c r="L143" s="463">
        <v>0</v>
      </c>
    </row>
    <row r="144" spans="1:11" ht="81" customHeight="1">
      <c r="A144" s="378" t="s">
        <v>1218</v>
      </c>
      <c r="B144" s="318" t="s">
        <v>1222</v>
      </c>
      <c r="C144" s="178"/>
      <c r="D144" s="178"/>
      <c r="E144" s="352"/>
      <c r="K144" s="178"/>
    </row>
    <row r="145" spans="1:12" ht="66" customHeight="1">
      <c r="A145" s="372" t="s">
        <v>1532</v>
      </c>
      <c r="B145" s="317" t="s">
        <v>1535</v>
      </c>
      <c r="C145" s="291">
        <f t="shared" si="20"/>
        <v>3533686.02</v>
      </c>
      <c r="D145" s="291">
        <f t="shared" si="20"/>
        <v>0</v>
      </c>
      <c r="E145" s="358">
        <f t="shared" si="20"/>
        <v>0</v>
      </c>
      <c r="K145" s="291">
        <f>K146</f>
        <v>3533686.02</v>
      </c>
      <c r="L145" s="463">
        <v>3533686.02</v>
      </c>
    </row>
    <row r="146" spans="1:12" ht="84" customHeight="1">
      <c r="A146" s="367" t="s">
        <v>1533</v>
      </c>
      <c r="B146" s="314" t="s">
        <v>1536</v>
      </c>
      <c r="C146" s="288">
        <f t="shared" si="20"/>
        <v>3533686.02</v>
      </c>
      <c r="D146" s="288">
        <f t="shared" si="20"/>
        <v>0</v>
      </c>
      <c r="E146" s="354">
        <f t="shared" si="20"/>
        <v>0</v>
      </c>
      <c r="K146" s="288">
        <f>K147</f>
        <v>3533686.02</v>
      </c>
      <c r="L146" s="463">
        <v>3533686.02</v>
      </c>
    </row>
    <row r="147" spans="1:12" ht="50.25" customHeight="1">
      <c r="A147" s="378" t="s">
        <v>1534</v>
      </c>
      <c r="B147" s="318" t="s">
        <v>1542</v>
      </c>
      <c r="C147" s="178">
        <v>3533686.02</v>
      </c>
      <c r="D147" s="178"/>
      <c r="E147" s="352"/>
      <c r="K147" s="178">
        <v>3533686.02</v>
      </c>
      <c r="L147" s="463">
        <v>3533686.02</v>
      </c>
    </row>
    <row r="148" spans="1:12" ht="61.5" customHeight="1">
      <c r="A148" s="372" t="s">
        <v>1459</v>
      </c>
      <c r="B148" s="317" t="s">
        <v>1460</v>
      </c>
      <c r="C148" s="291">
        <f aca="true" t="shared" si="21" ref="C148:E149">C149</f>
        <v>30525878</v>
      </c>
      <c r="D148" s="291">
        <f t="shared" si="21"/>
        <v>0</v>
      </c>
      <c r="E148" s="358">
        <f t="shared" si="21"/>
        <v>0</v>
      </c>
      <c r="K148" s="291">
        <f>K149</f>
        <v>30525878</v>
      </c>
      <c r="L148" s="463">
        <v>30525878</v>
      </c>
    </row>
    <row r="149" spans="1:12" ht="79.5" customHeight="1">
      <c r="A149" s="367" t="s">
        <v>1462</v>
      </c>
      <c r="B149" s="314" t="s">
        <v>1461</v>
      </c>
      <c r="C149" s="288">
        <f t="shared" si="21"/>
        <v>30525878</v>
      </c>
      <c r="D149" s="288">
        <f t="shared" si="21"/>
        <v>0</v>
      </c>
      <c r="E149" s="354">
        <f t="shared" si="21"/>
        <v>0</v>
      </c>
      <c r="K149" s="288">
        <f>K150</f>
        <v>30525878</v>
      </c>
      <c r="L149" s="463">
        <v>30525878</v>
      </c>
    </row>
    <row r="150" spans="1:12" ht="127.5" customHeight="1">
      <c r="A150" s="379" t="s">
        <v>1463</v>
      </c>
      <c r="B150" s="318" t="s">
        <v>1451</v>
      </c>
      <c r="C150" s="178">
        <v>30525878</v>
      </c>
      <c r="D150" s="178">
        <v>0</v>
      </c>
      <c r="E150" s="352">
        <v>0</v>
      </c>
      <c r="K150" s="178">
        <v>30525878</v>
      </c>
      <c r="L150" s="463">
        <v>30525878</v>
      </c>
    </row>
    <row r="151" spans="1:12" ht="63.75" customHeight="1">
      <c r="A151" s="372" t="s">
        <v>1455</v>
      </c>
      <c r="B151" s="317" t="s">
        <v>1457</v>
      </c>
      <c r="C151" s="291">
        <f aca="true" t="shared" si="22" ref="C151:E155">C152</f>
        <v>2234117.36</v>
      </c>
      <c r="D151" s="291">
        <f t="shared" si="22"/>
        <v>0</v>
      </c>
      <c r="E151" s="358">
        <f t="shared" si="22"/>
        <v>0</v>
      </c>
      <c r="K151" s="291">
        <f>K152</f>
        <v>2234117.36</v>
      </c>
      <c r="L151" s="463">
        <v>2234117.36</v>
      </c>
    </row>
    <row r="152" spans="1:12" ht="67.5" customHeight="1">
      <c r="A152" s="384" t="s">
        <v>1456</v>
      </c>
      <c r="B152" s="446" t="s">
        <v>1454</v>
      </c>
      <c r="C152" s="340">
        <f t="shared" si="22"/>
        <v>2234117.36</v>
      </c>
      <c r="D152" s="340">
        <f t="shared" si="22"/>
        <v>0</v>
      </c>
      <c r="E152" s="385">
        <f t="shared" si="22"/>
        <v>0</v>
      </c>
      <c r="K152" s="340">
        <f>K153</f>
        <v>2234117.36</v>
      </c>
      <c r="L152" s="463">
        <v>2234117.36</v>
      </c>
    </row>
    <row r="153" spans="1:12" ht="65.25" customHeight="1">
      <c r="A153" s="378" t="s">
        <v>1453</v>
      </c>
      <c r="B153" s="447" t="s">
        <v>1450</v>
      </c>
      <c r="C153" s="178">
        <v>2234117.36</v>
      </c>
      <c r="D153" s="178">
        <v>0</v>
      </c>
      <c r="E153" s="352">
        <v>0</v>
      </c>
      <c r="K153" s="178">
        <v>2234117.36</v>
      </c>
      <c r="L153" s="463">
        <v>2234117.36</v>
      </c>
    </row>
    <row r="154" spans="1:12" ht="49.5" customHeight="1">
      <c r="A154" s="372" t="s">
        <v>1502</v>
      </c>
      <c r="B154" s="317" t="s">
        <v>1499</v>
      </c>
      <c r="C154" s="291">
        <f t="shared" si="22"/>
        <v>0</v>
      </c>
      <c r="D154" s="291">
        <f t="shared" si="22"/>
        <v>6763641.98</v>
      </c>
      <c r="E154" s="358">
        <f t="shared" si="22"/>
        <v>0</v>
      </c>
      <c r="K154" s="291">
        <f>K155</f>
        <v>0</v>
      </c>
      <c r="L154" s="463">
        <v>0</v>
      </c>
    </row>
    <row r="155" spans="1:12" ht="52.5" customHeight="1">
      <c r="A155" s="384" t="s">
        <v>1501</v>
      </c>
      <c r="B155" s="446" t="s">
        <v>1500</v>
      </c>
      <c r="C155" s="340">
        <f t="shared" si="22"/>
        <v>0</v>
      </c>
      <c r="D155" s="340">
        <f t="shared" si="22"/>
        <v>6763641.98</v>
      </c>
      <c r="E155" s="385">
        <f t="shared" si="22"/>
        <v>0</v>
      </c>
      <c r="K155" s="340">
        <f>K156</f>
        <v>0</v>
      </c>
      <c r="L155" s="463">
        <v>0</v>
      </c>
    </row>
    <row r="156" spans="1:12" ht="78.75">
      <c r="A156" s="378" t="s">
        <v>1503</v>
      </c>
      <c r="B156" s="447" t="s">
        <v>1500</v>
      </c>
      <c r="C156" s="178">
        <v>0</v>
      </c>
      <c r="D156" s="178">
        <v>6763641.98</v>
      </c>
      <c r="E156" s="352">
        <v>0</v>
      </c>
      <c r="K156" s="178">
        <v>0</v>
      </c>
      <c r="L156" s="463">
        <v>0</v>
      </c>
    </row>
    <row r="157" spans="1:12" ht="47.25">
      <c r="A157" s="372" t="s">
        <v>1238</v>
      </c>
      <c r="B157" s="317" t="s">
        <v>1241</v>
      </c>
      <c r="C157" s="291">
        <f aca="true" t="shared" si="23" ref="C157:E158">C158</f>
        <v>0</v>
      </c>
      <c r="D157" s="291">
        <f t="shared" si="23"/>
        <v>0</v>
      </c>
      <c r="E157" s="358">
        <f t="shared" si="23"/>
        <v>0</v>
      </c>
      <c r="K157" s="291">
        <f>K158</f>
        <v>0</v>
      </c>
      <c r="L157" s="463">
        <v>0</v>
      </c>
    </row>
    <row r="158" spans="1:12" ht="47.25">
      <c r="A158" s="367" t="s">
        <v>1239</v>
      </c>
      <c r="B158" s="314" t="s">
        <v>1242</v>
      </c>
      <c r="C158" s="288">
        <f t="shared" si="23"/>
        <v>0</v>
      </c>
      <c r="D158" s="288">
        <f t="shared" si="23"/>
        <v>0</v>
      </c>
      <c r="E158" s="354">
        <f t="shared" si="23"/>
        <v>0</v>
      </c>
      <c r="K158" s="288">
        <f>K159</f>
        <v>0</v>
      </c>
      <c r="L158" s="463">
        <v>0</v>
      </c>
    </row>
    <row r="159" spans="1:11" ht="55.5" customHeight="1">
      <c r="A159" s="378" t="s">
        <v>1240</v>
      </c>
      <c r="B159" s="318" t="s">
        <v>1242</v>
      </c>
      <c r="C159" s="178"/>
      <c r="D159" s="178"/>
      <c r="E159" s="352"/>
      <c r="K159" s="178"/>
    </row>
    <row r="160" spans="1:12" ht="17.25" customHeight="1">
      <c r="A160" s="380" t="s">
        <v>1083</v>
      </c>
      <c r="B160" s="514" t="s">
        <v>854</v>
      </c>
      <c r="C160" s="309">
        <f>C161</f>
        <v>7048630.98</v>
      </c>
      <c r="D160" s="309">
        <f>D161</f>
        <v>457380</v>
      </c>
      <c r="E160" s="381">
        <f>E161</f>
        <v>457380</v>
      </c>
      <c r="F160" s="271">
        <v>5077648.83</v>
      </c>
      <c r="G160" s="271">
        <v>415800</v>
      </c>
      <c r="H160" s="271">
        <v>415800</v>
      </c>
      <c r="K160" s="309">
        <f>K161</f>
        <v>6432617.53</v>
      </c>
      <c r="L160" s="463">
        <v>6432617.53</v>
      </c>
    </row>
    <row r="161" spans="1:12" ht="17.25" customHeight="1">
      <c r="A161" s="369" t="s">
        <v>1084</v>
      </c>
      <c r="B161" s="515" t="s">
        <v>180</v>
      </c>
      <c r="C161" s="298">
        <f>SUM(C162:C169)</f>
        <v>7048630.98</v>
      </c>
      <c r="D161" s="298">
        <f>SUM(D162:D169)</f>
        <v>457380</v>
      </c>
      <c r="E161" s="370">
        <f>SUM(E162:E169)</f>
        <v>457380</v>
      </c>
      <c r="F161" s="271">
        <v>5077648.83</v>
      </c>
      <c r="G161" s="271">
        <v>415800</v>
      </c>
      <c r="H161" s="271">
        <v>415800</v>
      </c>
      <c r="K161" s="298">
        <f>SUM(K162:K169)</f>
        <v>6432617.53</v>
      </c>
      <c r="L161" s="463">
        <v>6432617.53</v>
      </c>
    </row>
    <row r="162" spans="1:12" ht="63.75" customHeight="1">
      <c r="A162" s="361" t="s">
        <v>1085</v>
      </c>
      <c r="B162" s="447" t="s">
        <v>208</v>
      </c>
      <c r="C162" s="178">
        <v>457380</v>
      </c>
      <c r="D162" s="178">
        <v>457380</v>
      </c>
      <c r="E162" s="352">
        <v>457380</v>
      </c>
      <c r="F162" s="345">
        <v>415800</v>
      </c>
      <c r="G162" s="178">
        <v>415800</v>
      </c>
      <c r="H162" s="178">
        <v>415800</v>
      </c>
      <c r="K162" s="178">
        <v>457380</v>
      </c>
      <c r="L162" s="463">
        <v>457380</v>
      </c>
    </row>
    <row r="163" spans="1:12" ht="82.5" customHeight="1">
      <c r="A163" s="378" t="s">
        <v>1085</v>
      </c>
      <c r="B163" s="310" t="s">
        <v>289</v>
      </c>
      <c r="C163" s="178">
        <v>4207701</v>
      </c>
      <c r="D163" s="178"/>
      <c r="E163" s="352"/>
      <c r="F163" s="344">
        <v>4041653</v>
      </c>
      <c r="G163" s="341"/>
      <c r="H163" s="341"/>
      <c r="K163" s="178">
        <v>4207701</v>
      </c>
      <c r="L163" s="463">
        <v>4207701</v>
      </c>
    </row>
    <row r="164" spans="1:11" ht="61.5" customHeight="1">
      <c r="A164" s="361" t="s">
        <v>1085</v>
      </c>
      <c r="B164" s="310" t="s">
        <v>739</v>
      </c>
      <c r="C164" s="178"/>
      <c r="D164" s="178"/>
      <c r="E164" s="352"/>
      <c r="F164" s="343"/>
      <c r="K164" s="178"/>
    </row>
    <row r="165" spans="1:11" ht="65.25" customHeight="1">
      <c r="A165" s="361" t="s">
        <v>1085</v>
      </c>
      <c r="B165" s="310" t="s">
        <v>1005</v>
      </c>
      <c r="C165" s="178"/>
      <c r="D165" s="178"/>
      <c r="E165" s="352"/>
      <c r="K165" s="178"/>
    </row>
    <row r="166" spans="1:12" ht="84" customHeight="1">
      <c r="A166" s="361" t="s">
        <v>1085</v>
      </c>
      <c r="B166" s="310" t="s">
        <v>1564</v>
      </c>
      <c r="C166" s="178">
        <v>1161623.23</v>
      </c>
      <c r="D166" s="178"/>
      <c r="E166" s="352"/>
      <c r="K166" s="178"/>
      <c r="L166" s="505">
        <v>0</v>
      </c>
    </row>
    <row r="167" spans="1:11" ht="69.75" customHeight="1">
      <c r="A167" s="361" t="s">
        <v>1085</v>
      </c>
      <c r="B167" s="310" t="s">
        <v>748</v>
      </c>
      <c r="C167" s="178"/>
      <c r="D167" s="178"/>
      <c r="E167" s="352"/>
      <c r="K167" s="178"/>
    </row>
    <row r="168" spans="1:12" ht="94.5">
      <c r="A168" s="361" t="s">
        <v>1085</v>
      </c>
      <c r="B168" s="310" t="s">
        <v>1452</v>
      </c>
      <c r="C168" s="178">
        <v>601730.92</v>
      </c>
      <c r="D168" s="178"/>
      <c r="E168" s="352"/>
      <c r="K168" s="178">
        <v>1147340.7</v>
      </c>
      <c r="L168" s="463">
        <v>1147340.7</v>
      </c>
    </row>
    <row r="169" spans="1:12" ht="114.75" customHeight="1">
      <c r="A169" s="378" t="s">
        <v>1085</v>
      </c>
      <c r="B169" s="310" t="s">
        <v>1052</v>
      </c>
      <c r="C169" s="178">
        <v>620195.83</v>
      </c>
      <c r="D169" s="178"/>
      <c r="E169" s="352"/>
      <c r="F169" s="344"/>
      <c r="G169" s="341"/>
      <c r="H169" s="341"/>
      <c r="K169" s="178">
        <v>620195.83</v>
      </c>
      <c r="L169" s="463">
        <v>620195.83</v>
      </c>
    </row>
    <row r="170" spans="1:12" ht="29.25" customHeight="1">
      <c r="A170" s="484" t="s">
        <v>1086</v>
      </c>
      <c r="B170" s="294" t="s">
        <v>767</v>
      </c>
      <c r="C170" s="485">
        <f>C171+C181+C184+C187</f>
        <v>128466139.45</v>
      </c>
      <c r="D170" s="485">
        <f>D171+D181+D184+D187</f>
        <v>134645284.54</v>
      </c>
      <c r="E170" s="486">
        <f>E171+E181+E184+E187</f>
        <v>134677959.54</v>
      </c>
      <c r="F170" s="271">
        <v>127435228.26</v>
      </c>
      <c r="G170" s="271">
        <v>136803978.3</v>
      </c>
      <c r="H170" s="271">
        <v>132029400.3</v>
      </c>
      <c r="K170" s="485">
        <f>K171+K181+K184+K187</f>
        <v>128466139.45</v>
      </c>
      <c r="L170" s="463">
        <v>128466139.45</v>
      </c>
    </row>
    <row r="171" spans="1:12" ht="48.75" customHeight="1">
      <c r="A171" s="380" t="s">
        <v>1087</v>
      </c>
      <c r="B171" s="299" t="s">
        <v>855</v>
      </c>
      <c r="C171" s="309">
        <f>C172</f>
        <v>2248267.95</v>
      </c>
      <c r="D171" s="309">
        <f>D172</f>
        <v>2033745.54</v>
      </c>
      <c r="E171" s="381">
        <f>E172</f>
        <v>2033745.54</v>
      </c>
      <c r="F171" s="271">
        <v>2261536.01</v>
      </c>
      <c r="G171" s="271">
        <v>2049774.3</v>
      </c>
      <c r="H171" s="271">
        <v>2049774.3</v>
      </c>
      <c r="K171" s="309">
        <f>K172</f>
        <v>2248267.95</v>
      </c>
      <c r="L171" s="463">
        <v>2248267.95</v>
      </c>
    </row>
    <row r="172" spans="1:12" ht="45.75" customHeight="1">
      <c r="A172" s="369" t="s">
        <v>1088</v>
      </c>
      <c r="B172" s="297" t="s">
        <v>151</v>
      </c>
      <c r="C172" s="298">
        <f>SUM(C173:C180)</f>
        <v>2248267.95</v>
      </c>
      <c r="D172" s="298">
        <f>SUM(D173:D180)</f>
        <v>2033745.54</v>
      </c>
      <c r="E172" s="370">
        <f>SUM(E173:E180)</f>
        <v>2033745.54</v>
      </c>
      <c r="F172" s="271">
        <v>2261536.01</v>
      </c>
      <c r="G172" s="271">
        <v>2049774.3</v>
      </c>
      <c r="H172" s="271">
        <v>2049774.3</v>
      </c>
      <c r="K172" s="298">
        <f>SUM(K173:K180)</f>
        <v>2248267.95</v>
      </c>
      <c r="L172" s="463">
        <v>2248267.95</v>
      </c>
    </row>
    <row r="173" spans="1:12" ht="69" customHeight="1">
      <c r="A173" s="361" t="s">
        <v>1089</v>
      </c>
      <c r="B173" s="448" t="s">
        <v>104</v>
      </c>
      <c r="C173" s="178">
        <v>433400.63</v>
      </c>
      <c r="D173" s="178">
        <v>403258</v>
      </c>
      <c r="E173" s="352">
        <v>403258</v>
      </c>
      <c r="F173" s="345">
        <v>433055.71</v>
      </c>
      <c r="G173" s="341"/>
      <c r="H173" s="341"/>
      <c r="K173" s="178">
        <v>433400.63</v>
      </c>
      <c r="L173" s="463">
        <v>433400.63</v>
      </c>
    </row>
    <row r="174" spans="1:12" ht="68.25" customHeight="1">
      <c r="A174" s="361" t="s">
        <v>1089</v>
      </c>
      <c r="B174" s="448" t="s">
        <v>105</v>
      </c>
      <c r="C174" s="178">
        <v>10666.5</v>
      </c>
      <c r="D174" s="178">
        <v>10666.5</v>
      </c>
      <c r="E174" s="352">
        <v>10666.5</v>
      </c>
      <c r="F174" s="342"/>
      <c r="K174" s="178">
        <v>10666.5</v>
      </c>
      <c r="L174" s="463">
        <v>10666.5</v>
      </c>
    </row>
    <row r="175" spans="1:12" ht="147" customHeight="1">
      <c r="A175" s="378" t="s">
        <v>1089</v>
      </c>
      <c r="B175" s="448" t="s">
        <v>1458</v>
      </c>
      <c r="C175" s="178">
        <v>298092</v>
      </c>
      <c r="D175" s="178">
        <v>293256</v>
      </c>
      <c r="E175" s="352">
        <v>293256</v>
      </c>
      <c r="K175" s="178">
        <v>298092</v>
      </c>
      <c r="L175" s="463">
        <v>298092</v>
      </c>
    </row>
    <row r="176" spans="1:12" ht="96" customHeight="1">
      <c r="A176" s="378" t="s">
        <v>1089</v>
      </c>
      <c r="B176" s="448" t="s">
        <v>106</v>
      </c>
      <c r="C176" s="178">
        <v>1217512.8</v>
      </c>
      <c r="D176" s="178">
        <v>1217512.8</v>
      </c>
      <c r="E176" s="352">
        <v>1217512.8</v>
      </c>
      <c r="K176" s="178">
        <v>1217512.8</v>
      </c>
      <c r="L176" s="463">
        <v>1217512.8</v>
      </c>
    </row>
    <row r="177" spans="1:12" ht="114" customHeight="1">
      <c r="A177" s="378" t="s">
        <v>1089</v>
      </c>
      <c r="B177" s="448" t="s">
        <v>18</v>
      </c>
      <c r="C177" s="178">
        <v>36345</v>
      </c>
      <c r="D177" s="178">
        <v>35942</v>
      </c>
      <c r="E177" s="352">
        <v>35942</v>
      </c>
      <c r="K177" s="178">
        <v>36345</v>
      </c>
      <c r="L177" s="463">
        <v>36345</v>
      </c>
    </row>
    <row r="178" spans="1:12" ht="81" customHeight="1">
      <c r="A178" s="378" t="s">
        <v>1089</v>
      </c>
      <c r="B178" s="448" t="s">
        <v>148</v>
      </c>
      <c r="C178" s="178">
        <v>140392</v>
      </c>
      <c r="D178" s="178"/>
      <c r="E178" s="352"/>
      <c r="F178" s="342"/>
      <c r="K178" s="178">
        <v>140392</v>
      </c>
      <c r="L178" s="463">
        <v>140392</v>
      </c>
    </row>
    <row r="179" spans="1:12" ht="94.5">
      <c r="A179" s="378" t="s">
        <v>1089</v>
      </c>
      <c r="B179" s="448" t="s">
        <v>1537</v>
      </c>
      <c r="C179" s="178">
        <v>61039.02</v>
      </c>
      <c r="D179" s="178">
        <v>22290.24</v>
      </c>
      <c r="E179" s="352">
        <v>22290.24</v>
      </c>
      <c r="F179" s="345">
        <v>79272</v>
      </c>
      <c r="G179" s="341"/>
      <c r="H179" s="341"/>
      <c r="K179" s="178">
        <v>61039.02</v>
      </c>
      <c r="L179" s="463">
        <v>61039.02</v>
      </c>
    </row>
    <row r="180" spans="1:12" ht="94.5">
      <c r="A180" s="378" t="s">
        <v>1089</v>
      </c>
      <c r="B180" s="267" t="s">
        <v>684</v>
      </c>
      <c r="C180" s="178">
        <v>50820</v>
      </c>
      <c r="D180" s="178">
        <v>50820</v>
      </c>
      <c r="E180" s="352">
        <v>50820</v>
      </c>
      <c r="F180" s="345">
        <v>46200</v>
      </c>
      <c r="G180" s="178">
        <v>46200</v>
      </c>
      <c r="H180" s="178">
        <v>46200</v>
      </c>
      <c r="K180" s="178">
        <v>50820</v>
      </c>
      <c r="L180" s="463">
        <v>50820</v>
      </c>
    </row>
    <row r="181" spans="1:12" ht="78.75">
      <c r="A181" s="372" t="s">
        <v>1090</v>
      </c>
      <c r="B181" s="449" t="s">
        <v>1107</v>
      </c>
      <c r="C181" s="291">
        <f aca="true" t="shared" si="24" ref="C181:E182">C182</f>
        <v>4293828</v>
      </c>
      <c r="D181" s="291">
        <f t="shared" si="24"/>
        <v>4293828</v>
      </c>
      <c r="E181" s="358">
        <f t="shared" si="24"/>
        <v>4293828</v>
      </c>
      <c r="F181" s="342"/>
      <c r="G181" s="271">
        <v>6440742</v>
      </c>
      <c r="H181" s="271">
        <v>1671654</v>
      </c>
      <c r="K181" s="291">
        <f>K182</f>
        <v>4293828</v>
      </c>
      <c r="L181" s="463">
        <v>4293828</v>
      </c>
    </row>
    <row r="182" spans="1:12" ht="78.75">
      <c r="A182" s="367" t="s">
        <v>1091</v>
      </c>
      <c r="B182" s="295" t="s">
        <v>1006</v>
      </c>
      <c r="C182" s="288">
        <f t="shared" si="24"/>
        <v>4293828</v>
      </c>
      <c r="D182" s="288">
        <f t="shared" si="24"/>
        <v>4293828</v>
      </c>
      <c r="E182" s="354">
        <f t="shared" si="24"/>
        <v>4293828</v>
      </c>
      <c r="G182" s="271">
        <v>6440742</v>
      </c>
      <c r="H182" s="271">
        <v>1671654</v>
      </c>
      <c r="K182" s="288">
        <f>K183</f>
        <v>4293828</v>
      </c>
      <c r="L182" s="463">
        <v>4293828</v>
      </c>
    </row>
    <row r="183" spans="1:12" ht="81" customHeight="1">
      <c r="A183" s="378" t="s">
        <v>1092</v>
      </c>
      <c r="B183" s="267" t="s">
        <v>1006</v>
      </c>
      <c r="C183" s="178">
        <v>4293828</v>
      </c>
      <c r="D183" s="178">
        <v>4293828</v>
      </c>
      <c r="E183" s="352">
        <v>4293828</v>
      </c>
      <c r="F183" s="345"/>
      <c r="G183" s="178">
        <v>6440742</v>
      </c>
      <c r="H183" s="178">
        <v>1671654</v>
      </c>
      <c r="K183" s="178">
        <v>4293828</v>
      </c>
      <c r="L183" s="463">
        <v>4293828</v>
      </c>
    </row>
    <row r="184" spans="1:12" ht="63">
      <c r="A184" s="372" t="s">
        <v>1093</v>
      </c>
      <c r="B184" s="449" t="s">
        <v>856</v>
      </c>
      <c r="C184" s="291">
        <f aca="true" t="shared" si="25" ref="C184:E185">C185</f>
        <v>9106</v>
      </c>
      <c r="D184" s="291">
        <f t="shared" si="25"/>
        <v>9739</v>
      </c>
      <c r="E184" s="358">
        <f t="shared" si="25"/>
        <v>42414</v>
      </c>
      <c r="F184" s="271">
        <v>5220</v>
      </c>
      <c r="G184" s="271">
        <v>5490</v>
      </c>
      <c r="H184" s="271">
        <v>0</v>
      </c>
      <c r="K184" s="291">
        <f>K185</f>
        <v>9106</v>
      </c>
      <c r="L184" s="463">
        <v>9106</v>
      </c>
    </row>
    <row r="185" spans="1:12" ht="17.25" customHeight="1">
      <c r="A185" s="367" t="s">
        <v>1094</v>
      </c>
      <c r="B185" s="295" t="s">
        <v>731</v>
      </c>
      <c r="C185" s="288">
        <f t="shared" si="25"/>
        <v>9106</v>
      </c>
      <c r="D185" s="288">
        <f t="shared" si="25"/>
        <v>9739</v>
      </c>
      <c r="E185" s="354">
        <f t="shared" si="25"/>
        <v>42414</v>
      </c>
      <c r="F185" s="271">
        <v>5220</v>
      </c>
      <c r="G185" s="271">
        <v>5490</v>
      </c>
      <c r="H185" s="271">
        <v>0</v>
      </c>
      <c r="K185" s="288">
        <f>K186</f>
        <v>9106</v>
      </c>
      <c r="L185" s="463">
        <v>9106</v>
      </c>
    </row>
    <row r="186" spans="1:12" ht="88.5" customHeight="1">
      <c r="A186" s="378" t="s">
        <v>1095</v>
      </c>
      <c r="B186" s="311" t="s">
        <v>731</v>
      </c>
      <c r="C186" s="178">
        <v>9106</v>
      </c>
      <c r="D186" s="178">
        <v>9739</v>
      </c>
      <c r="E186" s="352">
        <v>42414</v>
      </c>
      <c r="F186" s="345">
        <v>5220</v>
      </c>
      <c r="G186" s="178">
        <v>5490</v>
      </c>
      <c r="H186" s="178"/>
      <c r="K186" s="178">
        <v>9106</v>
      </c>
      <c r="L186" s="463">
        <v>9106</v>
      </c>
    </row>
    <row r="187" spans="1:12" ht="24" customHeight="1">
      <c r="A187" s="372" t="s">
        <v>1096</v>
      </c>
      <c r="B187" s="449" t="s">
        <v>857</v>
      </c>
      <c r="C187" s="291">
        <f>C188</f>
        <v>121914937.5</v>
      </c>
      <c r="D187" s="291">
        <f>D188</f>
        <v>128307972</v>
      </c>
      <c r="E187" s="358">
        <f>E188</f>
        <v>128307972</v>
      </c>
      <c r="F187" s="271">
        <v>120874644.25</v>
      </c>
      <c r="G187" s="271">
        <v>128307972</v>
      </c>
      <c r="H187" s="271">
        <v>128307972</v>
      </c>
      <c r="K187" s="291">
        <f>K188</f>
        <v>121914937.5</v>
      </c>
      <c r="L187" s="463">
        <v>121914937.5</v>
      </c>
    </row>
    <row r="188" spans="1:12" ht="28.5" customHeight="1">
      <c r="A188" s="367" t="s">
        <v>1097</v>
      </c>
      <c r="B188" s="295" t="s">
        <v>267</v>
      </c>
      <c r="C188" s="288">
        <f>SUM(C189:C191)</f>
        <v>121914937.5</v>
      </c>
      <c r="D188" s="288">
        <f>SUM(D189:D191)</f>
        <v>128307972</v>
      </c>
      <c r="E188" s="354">
        <f>SUM(E189:E191)</f>
        <v>128307972</v>
      </c>
      <c r="F188" s="271">
        <v>120874644.25</v>
      </c>
      <c r="G188" s="271">
        <v>128307972</v>
      </c>
      <c r="H188" s="271">
        <v>128307972</v>
      </c>
      <c r="K188" s="288">
        <f>SUM(K189:K191)</f>
        <v>121914937.5</v>
      </c>
      <c r="L188" s="463">
        <v>121914937.5</v>
      </c>
    </row>
    <row r="189" spans="1:12" ht="157.5">
      <c r="A189" s="378" t="s">
        <v>1098</v>
      </c>
      <c r="B189" s="448" t="s">
        <v>1289</v>
      </c>
      <c r="C189" s="178">
        <v>42301019</v>
      </c>
      <c r="D189" s="178">
        <v>44867894</v>
      </c>
      <c r="E189" s="352">
        <v>44867894</v>
      </c>
      <c r="F189" s="345">
        <v>41850440</v>
      </c>
      <c r="G189" s="341"/>
      <c r="H189" s="341"/>
      <c r="K189" s="178">
        <v>42301019</v>
      </c>
      <c r="L189" s="463">
        <v>42301019</v>
      </c>
    </row>
    <row r="190" spans="1:12" ht="67.5" customHeight="1">
      <c r="A190" s="378" t="s">
        <v>1098</v>
      </c>
      <c r="B190" s="448" t="s">
        <v>1053</v>
      </c>
      <c r="C190" s="178">
        <v>73569735.5</v>
      </c>
      <c r="D190" s="178">
        <v>76707041</v>
      </c>
      <c r="E190" s="352">
        <v>76707041</v>
      </c>
      <c r="F190" s="344">
        <v>73023561.5</v>
      </c>
      <c r="G190" s="341"/>
      <c r="H190" s="341"/>
      <c r="K190" s="178">
        <v>73569735.5</v>
      </c>
      <c r="L190" s="463">
        <v>73569735.5</v>
      </c>
    </row>
    <row r="191" spans="1:12" ht="83.25" customHeight="1">
      <c r="A191" s="378" t="s">
        <v>1098</v>
      </c>
      <c r="B191" s="448" t="s">
        <v>1054</v>
      </c>
      <c r="C191" s="178">
        <v>6044183</v>
      </c>
      <c r="D191" s="178">
        <v>6733037</v>
      </c>
      <c r="E191" s="352">
        <v>6733037</v>
      </c>
      <c r="F191" s="344">
        <v>6000642.75</v>
      </c>
      <c r="G191" s="341"/>
      <c r="H191" s="341"/>
      <c r="K191" s="178">
        <v>6044183</v>
      </c>
      <c r="L191" s="463">
        <v>6044183</v>
      </c>
    </row>
    <row r="192" spans="1:12" ht="23.25" customHeight="1">
      <c r="A192" s="371" t="s">
        <v>1099</v>
      </c>
      <c r="B192" s="511" t="s">
        <v>223</v>
      </c>
      <c r="C192" s="289">
        <f>C193+C199+C196</f>
        <v>5572284.779999999</v>
      </c>
      <c r="D192" s="289">
        <f>D193+D199+D196</f>
        <v>6319284.75</v>
      </c>
      <c r="E192" s="289">
        <f>E193+E199+E196</f>
        <v>6249600</v>
      </c>
      <c r="K192" s="289">
        <f>K193+K199</f>
        <v>230834.75</v>
      </c>
      <c r="L192" s="463">
        <v>230834.75</v>
      </c>
    </row>
    <row r="193" spans="1:12" ht="65.25" customHeight="1">
      <c r="A193" s="382" t="s">
        <v>1290</v>
      </c>
      <c r="B193" s="336" t="s">
        <v>1291</v>
      </c>
      <c r="C193" s="337">
        <f aca="true" t="shared" si="26" ref="C193:E197">C194</f>
        <v>69684.75</v>
      </c>
      <c r="D193" s="337">
        <f t="shared" si="26"/>
        <v>69684.75</v>
      </c>
      <c r="E193" s="383">
        <f t="shared" si="26"/>
        <v>0</v>
      </c>
      <c r="K193" s="337">
        <f>K194</f>
        <v>69684.75</v>
      </c>
      <c r="L193" s="463">
        <v>69684.75</v>
      </c>
    </row>
    <row r="194" spans="1:12" ht="81.75" customHeight="1">
      <c r="A194" s="384" t="s">
        <v>1292</v>
      </c>
      <c r="B194" s="339" t="s">
        <v>1255</v>
      </c>
      <c r="C194" s="340">
        <f t="shared" si="26"/>
        <v>69684.75</v>
      </c>
      <c r="D194" s="340">
        <f t="shared" si="26"/>
        <v>69684.75</v>
      </c>
      <c r="E194" s="385">
        <f t="shared" si="26"/>
        <v>0</v>
      </c>
      <c r="K194" s="340">
        <f>K195</f>
        <v>69684.75</v>
      </c>
      <c r="L194" s="463">
        <v>69684.75</v>
      </c>
    </row>
    <row r="195" spans="1:12" ht="78.75" customHeight="1">
      <c r="A195" s="379" t="s">
        <v>1253</v>
      </c>
      <c r="B195" s="450" t="s">
        <v>1255</v>
      </c>
      <c r="C195" s="307">
        <v>69684.75</v>
      </c>
      <c r="D195" s="307">
        <v>69684.75</v>
      </c>
      <c r="E195" s="364"/>
      <c r="K195" s="307">
        <v>69684.75</v>
      </c>
      <c r="L195" s="463">
        <v>69684.75</v>
      </c>
    </row>
    <row r="196" spans="1:11" ht="70.5" customHeight="1">
      <c r="A196" s="382" t="s">
        <v>1582</v>
      </c>
      <c r="B196" s="336" t="s">
        <v>1583</v>
      </c>
      <c r="C196" s="337">
        <f t="shared" si="26"/>
        <v>2083200</v>
      </c>
      <c r="D196" s="337">
        <f t="shared" si="26"/>
        <v>6249600</v>
      </c>
      <c r="E196" s="383">
        <f t="shared" si="26"/>
        <v>6249600</v>
      </c>
      <c r="K196" s="307"/>
    </row>
    <row r="197" spans="1:11" ht="79.5" customHeight="1">
      <c r="A197" s="384" t="s">
        <v>1581</v>
      </c>
      <c r="B197" s="339" t="s">
        <v>1579</v>
      </c>
      <c r="C197" s="340">
        <f t="shared" si="26"/>
        <v>2083200</v>
      </c>
      <c r="D197" s="340">
        <f t="shared" si="26"/>
        <v>6249600</v>
      </c>
      <c r="E197" s="385">
        <f t="shared" si="26"/>
        <v>6249600</v>
      </c>
      <c r="K197" s="307"/>
    </row>
    <row r="198" spans="1:11" ht="85.5" customHeight="1">
      <c r="A198" s="379" t="s">
        <v>1580</v>
      </c>
      <c r="B198" s="450" t="s">
        <v>1579</v>
      </c>
      <c r="C198" s="307">
        <v>2083200</v>
      </c>
      <c r="D198" s="307">
        <v>6249600</v>
      </c>
      <c r="E198" s="364">
        <v>6249600</v>
      </c>
      <c r="K198" s="307"/>
    </row>
    <row r="199" spans="1:12" ht="33.75" customHeight="1">
      <c r="A199" s="382" t="s">
        <v>1552</v>
      </c>
      <c r="B199" s="336" t="s">
        <v>1551</v>
      </c>
      <c r="C199" s="337">
        <f aca="true" t="shared" si="27" ref="C199:E200">C200</f>
        <v>3419400.03</v>
      </c>
      <c r="D199" s="337">
        <f t="shared" si="27"/>
        <v>0</v>
      </c>
      <c r="E199" s="383">
        <f t="shared" si="27"/>
        <v>0</v>
      </c>
      <c r="K199" s="337">
        <f>K200</f>
        <v>161150</v>
      </c>
      <c r="L199" s="463">
        <v>161150</v>
      </c>
    </row>
    <row r="200" spans="1:12" ht="55.5" customHeight="1">
      <c r="A200" s="384" t="s">
        <v>1550</v>
      </c>
      <c r="B200" s="339" t="s">
        <v>323</v>
      </c>
      <c r="C200" s="340">
        <f>C201+C202</f>
        <v>3419400.03</v>
      </c>
      <c r="D200" s="340">
        <f t="shared" si="27"/>
        <v>0</v>
      </c>
      <c r="E200" s="385">
        <f t="shared" si="27"/>
        <v>0</v>
      </c>
      <c r="K200" s="340">
        <f>K201</f>
        <v>161150</v>
      </c>
      <c r="L200" s="463">
        <v>161150</v>
      </c>
    </row>
    <row r="201" spans="1:12" ht="51.75" customHeight="1">
      <c r="A201" s="379" t="s">
        <v>1556</v>
      </c>
      <c r="B201" s="450" t="s">
        <v>323</v>
      </c>
      <c r="C201" s="307">
        <v>161150</v>
      </c>
      <c r="D201" s="307"/>
      <c r="E201" s="364"/>
      <c r="K201" s="307">
        <v>161150</v>
      </c>
      <c r="L201" s="463">
        <v>161150</v>
      </c>
    </row>
    <row r="202" spans="1:11" ht="45" customHeight="1">
      <c r="A202" s="379" t="s">
        <v>1578</v>
      </c>
      <c r="B202" s="450" t="s">
        <v>323</v>
      </c>
      <c r="C202" s="307">
        <v>3258250.03</v>
      </c>
      <c r="D202" s="307"/>
      <c r="E202" s="364"/>
      <c r="K202" s="307"/>
    </row>
    <row r="203" spans="1:12" s="459" customFormat="1" ht="81" customHeight="1">
      <c r="A203" s="371" t="s">
        <v>1512</v>
      </c>
      <c r="B203" s="501" t="s">
        <v>1515</v>
      </c>
      <c r="C203" s="289">
        <f>C204</f>
        <v>23846.94</v>
      </c>
      <c r="D203" s="289">
        <f>D204</f>
        <v>0</v>
      </c>
      <c r="E203" s="356">
        <f>E204</f>
        <v>0</v>
      </c>
      <c r="F203" s="174"/>
      <c r="G203" s="174"/>
      <c r="H203" s="174"/>
      <c r="I203" s="174"/>
      <c r="J203" s="174"/>
      <c r="K203" s="289">
        <f>K204</f>
        <v>23846.94</v>
      </c>
      <c r="L203" s="463">
        <v>23846.94</v>
      </c>
    </row>
    <row r="204" spans="1:12" ht="96.75" customHeight="1">
      <c r="A204" s="382" t="s">
        <v>1516</v>
      </c>
      <c r="B204" s="336" t="s">
        <v>1511</v>
      </c>
      <c r="C204" s="337">
        <f aca="true" t="shared" si="28" ref="C204:E206">C205</f>
        <v>23846.94</v>
      </c>
      <c r="D204" s="337">
        <f t="shared" si="28"/>
        <v>0</v>
      </c>
      <c r="E204" s="383">
        <f t="shared" si="28"/>
        <v>0</v>
      </c>
      <c r="K204" s="337">
        <f>K205</f>
        <v>23846.94</v>
      </c>
      <c r="L204" s="463">
        <v>23846.94</v>
      </c>
    </row>
    <row r="205" spans="1:12" ht="81" customHeight="1">
      <c r="A205" s="384" t="s">
        <v>1519</v>
      </c>
      <c r="B205" s="339" t="s">
        <v>1510</v>
      </c>
      <c r="C205" s="340">
        <f>C206+C208</f>
        <v>23846.94</v>
      </c>
      <c r="D205" s="340">
        <f>D206+D208</f>
        <v>0</v>
      </c>
      <c r="E205" s="340">
        <f>E206+E208</f>
        <v>0</v>
      </c>
      <c r="K205" s="340">
        <f>K206+K208</f>
        <v>23846.94</v>
      </c>
      <c r="L205" s="463">
        <v>23846.94</v>
      </c>
    </row>
    <row r="206" spans="1:12" ht="72" customHeight="1">
      <c r="A206" s="379" t="s">
        <v>1517</v>
      </c>
      <c r="B206" s="450" t="s">
        <v>1510</v>
      </c>
      <c r="C206" s="307">
        <f>C207</f>
        <v>23846.94</v>
      </c>
      <c r="D206" s="307">
        <f t="shared" si="28"/>
        <v>0</v>
      </c>
      <c r="E206" s="307">
        <f t="shared" si="28"/>
        <v>0</v>
      </c>
      <c r="F206" s="459"/>
      <c r="G206" s="459"/>
      <c r="H206" s="459"/>
      <c r="I206" s="459"/>
      <c r="J206" s="459"/>
      <c r="K206" s="307">
        <f>K207</f>
        <v>23846.94</v>
      </c>
      <c r="L206" s="464">
        <v>23846.94</v>
      </c>
    </row>
    <row r="207" spans="1:12" ht="61.5" customHeight="1">
      <c r="A207" s="379" t="s">
        <v>1518</v>
      </c>
      <c r="B207" s="450" t="s">
        <v>1510</v>
      </c>
      <c r="C207" s="307">
        <v>23846.94</v>
      </c>
      <c r="D207" s="307">
        <v>0</v>
      </c>
      <c r="E207" s="364">
        <v>0</v>
      </c>
      <c r="K207" s="307">
        <v>23846.94</v>
      </c>
      <c r="L207" s="463">
        <v>23846.94</v>
      </c>
    </row>
    <row r="208" spans="1:12" ht="46.5" customHeight="1">
      <c r="A208" s="379" t="s">
        <v>1561</v>
      </c>
      <c r="B208" s="450" t="s">
        <v>1558</v>
      </c>
      <c r="C208" s="307">
        <f aca="true" t="shared" si="29" ref="C208:E209">C209</f>
        <v>0</v>
      </c>
      <c r="D208" s="307">
        <f t="shared" si="29"/>
        <v>0</v>
      </c>
      <c r="E208" s="307">
        <f t="shared" si="29"/>
        <v>0</v>
      </c>
      <c r="K208" s="307">
        <f>K209</f>
        <v>0</v>
      </c>
      <c r="L208" s="463">
        <v>0</v>
      </c>
    </row>
    <row r="209" spans="1:12" ht="52.5" customHeight="1">
      <c r="A209" s="379" t="s">
        <v>1559</v>
      </c>
      <c r="B209" s="450" t="s">
        <v>1557</v>
      </c>
      <c r="C209" s="307">
        <f t="shared" si="29"/>
        <v>0</v>
      </c>
      <c r="D209" s="307">
        <f t="shared" si="29"/>
        <v>0</v>
      </c>
      <c r="E209" s="307">
        <f t="shared" si="29"/>
        <v>0</v>
      </c>
      <c r="K209" s="307">
        <f>K210</f>
        <v>0</v>
      </c>
      <c r="L209" s="463">
        <v>0</v>
      </c>
    </row>
    <row r="210" spans="1:12" ht="46.5" customHeight="1">
      <c r="A210" s="379" t="s">
        <v>1560</v>
      </c>
      <c r="B210" s="450" t="s">
        <v>1557</v>
      </c>
      <c r="C210" s="307">
        <v>0</v>
      </c>
      <c r="D210" s="307">
        <v>0</v>
      </c>
      <c r="E210" s="364">
        <v>0</v>
      </c>
      <c r="K210" s="307">
        <v>0</v>
      </c>
      <c r="L210" s="463">
        <v>0</v>
      </c>
    </row>
    <row r="211" spans="1:12" ht="63.75" customHeight="1">
      <c r="A211" s="371" t="s">
        <v>858</v>
      </c>
      <c r="B211" s="312" t="s">
        <v>859</v>
      </c>
      <c r="C211" s="289">
        <f>C212</f>
        <v>-20401.91</v>
      </c>
      <c r="D211" s="289">
        <f>D212</f>
        <v>0</v>
      </c>
      <c r="E211" s="356">
        <f>E212</f>
        <v>0</v>
      </c>
      <c r="K211" s="289">
        <f>K212</f>
        <v>-20401.91</v>
      </c>
      <c r="L211" s="463">
        <v>-20401.91</v>
      </c>
    </row>
    <row r="212" spans="1:12" ht="63">
      <c r="A212" s="372" t="s">
        <v>1100</v>
      </c>
      <c r="B212" s="335" t="s">
        <v>178</v>
      </c>
      <c r="C212" s="291">
        <f aca="true" t="shared" si="30" ref="C212:E213">C213</f>
        <v>-20401.91</v>
      </c>
      <c r="D212" s="291">
        <f t="shared" si="30"/>
        <v>0</v>
      </c>
      <c r="E212" s="358">
        <f t="shared" si="30"/>
        <v>0</v>
      </c>
      <c r="K212" s="291">
        <f>K213</f>
        <v>-20401.91</v>
      </c>
      <c r="L212" s="463">
        <v>-20401.91</v>
      </c>
    </row>
    <row r="213" spans="1:12" ht="63">
      <c r="A213" s="367" t="s">
        <v>1101</v>
      </c>
      <c r="B213" s="338" t="s">
        <v>735</v>
      </c>
      <c r="C213" s="288">
        <f t="shared" si="30"/>
        <v>-20401.91</v>
      </c>
      <c r="D213" s="288">
        <f t="shared" si="30"/>
        <v>0</v>
      </c>
      <c r="E213" s="354">
        <f t="shared" si="30"/>
        <v>0</v>
      </c>
      <c r="K213" s="288">
        <f>K214</f>
        <v>-20401.91</v>
      </c>
      <c r="L213" s="463">
        <v>-20401.91</v>
      </c>
    </row>
    <row r="214" spans="1:12" ht="63">
      <c r="A214" s="379" t="s">
        <v>1102</v>
      </c>
      <c r="B214" s="313" t="s">
        <v>735</v>
      </c>
      <c r="C214" s="307">
        <v>-20401.91</v>
      </c>
      <c r="D214" s="307"/>
      <c r="E214" s="364"/>
      <c r="K214" s="307">
        <v>-20401.91</v>
      </c>
      <c r="L214" s="463">
        <v>-20401.91</v>
      </c>
    </row>
    <row r="215" spans="1:12" ht="42" customHeight="1" thickBot="1">
      <c r="A215" s="386"/>
      <c r="B215" s="516" t="s">
        <v>111</v>
      </c>
      <c r="C215" s="472">
        <f>C114+C10</f>
        <v>393295188.05999994</v>
      </c>
      <c r="D215" s="472">
        <f>D114+D10</f>
        <v>326175178.23</v>
      </c>
      <c r="E215" s="473">
        <f>E114+E10</f>
        <v>317955166.56</v>
      </c>
      <c r="K215" s="472">
        <f>K114+K10</f>
        <v>371461254.09999996</v>
      </c>
      <c r="L215" s="463">
        <v>379360535.77</v>
      </c>
    </row>
    <row r="216" ht="12.75">
      <c r="B216" s="180"/>
    </row>
    <row r="217" ht="12.75">
      <c r="B217" s="180"/>
    </row>
    <row r="218" spans="2:5" ht="12.75">
      <c r="B218" s="180"/>
      <c r="C218" s="271"/>
      <c r="D218" s="271"/>
      <c r="E218" s="271"/>
    </row>
    <row r="219" ht="12.75">
      <c r="B219" s="180"/>
    </row>
    <row r="220" ht="12.75">
      <c r="B220" s="180"/>
    </row>
    <row r="221" ht="12.75">
      <c r="B221" s="180"/>
    </row>
    <row r="222" ht="12.75">
      <c r="B222" s="180"/>
    </row>
    <row r="223" ht="12.75">
      <c r="B223" s="180"/>
    </row>
  </sheetData>
  <sheetProtection/>
  <mergeCells count="7">
    <mergeCell ref="C2:E2"/>
    <mergeCell ref="F3:H3"/>
    <mergeCell ref="A4:C4"/>
    <mergeCell ref="A5:E5"/>
    <mergeCell ref="A7:A8"/>
    <mergeCell ref="B7:B8"/>
    <mergeCell ref="C7:E7"/>
  </mergeCells>
  <printOptions/>
  <pageMargins left="0.54" right="0.46" top="0.38" bottom="0.42" header="0.23" footer="0.27"/>
  <pageSetup fitToHeight="0" fitToWidth="1" horizontalDpi="600" verticalDpi="600" orientation="portrait" paperSize="9" scale="61" r:id="rId1"/>
  <rowBreaks count="2" manualBreakCount="2">
    <brk id="68" max="11" man="1"/>
    <brk id="9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view="pageBreakPreview" zoomScaleSheetLayoutView="100" zoomScalePageLayoutView="0" workbookViewId="0" topLeftCell="A82">
      <selection activeCell="C36" sqref="C36"/>
    </sheetView>
  </sheetViews>
  <sheetFormatPr defaultColWidth="9.140625" defaultRowHeight="12.75"/>
  <cols>
    <col min="1" max="1" width="8.7109375" style="183" customWidth="1"/>
    <col min="2" max="2" width="27.28125" style="183" customWidth="1"/>
    <col min="3" max="3" width="69.8515625" style="123" customWidth="1"/>
    <col min="4" max="16384" width="9.140625" style="123" customWidth="1"/>
  </cols>
  <sheetData>
    <row r="1" spans="1:3" ht="15.75">
      <c r="A1" s="327"/>
      <c r="B1" s="327"/>
      <c r="C1" s="38" t="s">
        <v>71</v>
      </c>
    </row>
    <row r="2" spans="1:3" ht="15.75">
      <c r="A2" s="521" t="s">
        <v>112</v>
      </c>
      <c r="B2" s="521"/>
      <c r="C2" s="521"/>
    </row>
    <row r="3" spans="1:3" ht="15.75">
      <c r="A3" s="327"/>
      <c r="B3" s="521" t="s">
        <v>1442</v>
      </c>
      <c r="C3" s="521"/>
    </row>
    <row r="4" ht="12.75">
      <c r="B4" s="328"/>
    </row>
    <row r="5" spans="1:3" ht="30.75" customHeight="1">
      <c r="A5" s="534" t="s">
        <v>1259</v>
      </c>
      <c r="B5" s="534"/>
      <c r="C5" s="534"/>
    </row>
    <row r="6" spans="1:5" ht="15.75">
      <c r="A6" s="519" t="s">
        <v>1443</v>
      </c>
      <c r="B6" s="519"/>
      <c r="C6" s="519"/>
      <c r="D6" s="34"/>
      <c r="E6" s="34"/>
    </row>
    <row r="7" spans="1:3" ht="16.5" thickBot="1">
      <c r="A7" s="167"/>
      <c r="B7" s="167"/>
      <c r="C7" s="3"/>
    </row>
    <row r="8" spans="1:3" ht="16.5" thickBot="1">
      <c r="A8" s="532" t="s">
        <v>72</v>
      </c>
      <c r="B8" s="532"/>
      <c r="C8" s="532" t="s">
        <v>73</v>
      </c>
    </row>
    <row r="9" spans="1:3" ht="51.75" thickBot="1">
      <c r="A9" s="171" t="s">
        <v>74</v>
      </c>
      <c r="B9" s="160" t="s">
        <v>75</v>
      </c>
      <c r="C9" s="532"/>
    </row>
    <row r="10" spans="1:3" ht="16.5" thickBot="1">
      <c r="A10" s="160">
        <v>1</v>
      </c>
      <c r="B10" s="160">
        <v>2</v>
      </c>
      <c r="C10" s="73">
        <v>3</v>
      </c>
    </row>
    <row r="11" spans="1:3" ht="16.5" thickBot="1">
      <c r="A11" s="321" t="s">
        <v>1432</v>
      </c>
      <c r="B11" s="533" t="s">
        <v>1431</v>
      </c>
      <c r="C11" s="533"/>
    </row>
    <row r="12" spans="1:3" ht="79.5" thickBot="1">
      <c r="A12" s="173" t="s">
        <v>1432</v>
      </c>
      <c r="B12" s="169" t="s">
        <v>1395</v>
      </c>
      <c r="C12" s="220" t="s">
        <v>1272</v>
      </c>
    </row>
    <row r="13" spans="1:3" ht="95.25" thickBot="1">
      <c r="A13" s="173" t="s">
        <v>1432</v>
      </c>
      <c r="B13" s="169" t="s">
        <v>1396</v>
      </c>
      <c r="C13" s="220" t="s">
        <v>1275</v>
      </c>
    </row>
    <row r="14" spans="1:3" ht="79.5" thickBot="1">
      <c r="A14" s="173" t="s">
        <v>1432</v>
      </c>
      <c r="B14" s="169" t="s">
        <v>1397</v>
      </c>
      <c r="C14" s="320" t="s">
        <v>1279</v>
      </c>
    </row>
    <row r="15" spans="1:3" ht="79.5" thickBot="1">
      <c r="A15" s="173" t="s">
        <v>1432</v>
      </c>
      <c r="B15" s="169" t="s">
        <v>1399</v>
      </c>
      <c r="C15" s="63" t="s">
        <v>1283</v>
      </c>
    </row>
    <row r="16" spans="1:3" ht="83.25" customHeight="1" thickBot="1">
      <c r="A16" s="173" t="s">
        <v>1432</v>
      </c>
      <c r="B16" s="169" t="s">
        <v>1398</v>
      </c>
      <c r="C16" s="63" t="s">
        <v>1287</v>
      </c>
    </row>
    <row r="17" spans="1:3" ht="16.5" thickBot="1">
      <c r="A17" s="172" t="s">
        <v>113</v>
      </c>
      <c r="B17" s="532" t="s">
        <v>114</v>
      </c>
      <c r="C17" s="532"/>
    </row>
    <row r="18" spans="1:3" ht="32.25" thickBot="1">
      <c r="A18" s="166" t="s">
        <v>113</v>
      </c>
      <c r="B18" s="168" t="s">
        <v>76</v>
      </c>
      <c r="C18" s="11" t="s">
        <v>152</v>
      </c>
    </row>
    <row r="19" spans="1:3" ht="32.25" thickBot="1">
      <c r="A19" s="166" t="s">
        <v>113</v>
      </c>
      <c r="B19" s="168" t="s">
        <v>77</v>
      </c>
      <c r="C19" s="11" t="s">
        <v>182</v>
      </c>
    </row>
    <row r="20" spans="1:3" ht="48" thickBot="1">
      <c r="A20" s="166" t="s">
        <v>113</v>
      </c>
      <c r="B20" s="168" t="s">
        <v>78</v>
      </c>
      <c r="C20" s="11" t="s">
        <v>54</v>
      </c>
    </row>
    <row r="21" spans="1:3" ht="32.25" thickBot="1">
      <c r="A21" s="166" t="s">
        <v>113</v>
      </c>
      <c r="B21" s="168" t="s">
        <v>79</v>
      </c>
      <c r="C21" s="11" t="s">
        <v>80</v>
      </c>
    </row>
    <row r="22" spans="1:3" ht="32.25" thickBot="1">
      <c r="A22" s="166" t="s">
        <v>113</v>
      </c>
      <c r="B22" s="168" t="s">
        <v>81</v>
      </c>
      <c r="C22" s="11" t="s">
        <v>16</v>
      </c>
    </row>
    <row r="23" spans="1:3" ht="16.5" thickBot="1">
      <c r="A23" s="166" t="s">
        <v>113</v>
      </c>
      <c r="B23" s="168" t="s">
        <v>82</v>
      </c>
      <c r="C23" s="11" t="s">
        <v>49</v>
      </c>
    </row>
    <row r="24" spans="1:3" ht="95.25" thickBot="1">
      <c r="A24" s="173" t="s">
        <v>113</v>
      </c>
      <c r="B24" s="169" t="s">
        <v>1166</v>
      </c>
      <c r="C24" s="159" t="s">
        <v>224</v>
      </c>
    </row>
    <row r="25" spans="1:3" ht="32.25" thickBot="1">
      <c r="A25" s="166" t="s">
        <v>113</v>
      </c>
      <c r="B25" s="168" t="s">
        <v>1108</v>
      </c>
      <c r="C25" s="11" t="s">
        <v>26</v>
      </c>
    </row>
    <row r="26" spans="1:3" ht="32.25" thickBot="1">
      <c r="A26" s="166" t="s">
        <v>113</v>
      </c>
      <c r="B26" s="168" t="s">
        <v>1109</v>
      </c>
      <c r="C26" s="11" t="s">
        <v>171</v>
      </c>
    </row>
    <row r="27" spans="1:3" ht="16.5" thickBot="1">
      <c r="A27" s="166" t="s">
        <v>113</v>
      </c>
      <c r="B27" s="168" t="s">
        <v>1110</v>
      </c>
      <c r="C27" s="11" t="s">
        <v>27</v>
      </c>
    </row>
    <row r="28" spans="1:3" ht="32.25" customHeight="1" thickBot="1">
      <c r="A28" s="166" t="s">
        <v>113</v>
      </c>
      <c r="B28" s="168" t="s">
        <v>1111</v>
      </c>
      <c r="C28" s="126" t="s">
        <v>1000</v>
      </c>
    </row>
    <row r="29" spans="1:3" ht="63.75" thickBot="1">
      <c r="A29" s="166" t="s">
        <v>113</v>
      </c>
      <c r="B29" s="84" t="s">
        <v>1112</v>
      </c>
      <c r="C29" s="281" t="s">
        <v>1498</v>
      </c>
    </row>
    <row r="30" spans="1:3" ht="63.75" thickBot="1">
      <c r="A30" s="166" t="s">
        <v>113</v>
      </c>
      <c r="B30" s="84" t="s">
        <v>1618</v>
      </c>
      <c r="C30" s="518" t="s">
        <v>1612</v>
      </c>
    </row>
    <row r="31" spans="1:3" ht="111.75" customHeight="1" thickBot="1">
      <c r="A31" s="166" t="s">
        <v>113</v>
      </c>
      <c r="B31" s="84" t="s">
        <v>1506</v>
      </c>
      <c r="C31" s="447" t="s">
        <v>1450</v>
      </c>
    </row>
    <row r="32" spans="1:3" ht="79.5" thickBot="1">
      <c r="A32" s="166" t="s">
        <v>113</v>
      </c>
      <c r="B32" s="84" t="s">
        <v>1113</v>
      </c>
      <c r="C32" s="281" t="s">
        <v>296</v>
      </c>
    </row>
    <row r="33" spans="1:3" ht="32.25" thickBot="1">
      <c r="A33" s="166" t="s">
        <v>113</v>
      </c>
      <c r="B33" s="84" t="s">
        <v>1114</v>
      </c>
      <c r="C33" s="281" t="s">
        <v>764</v>
      </c>
    </row>
    <row r="34" spans="1:3" ht="63.75" thickBot="1">
      <c r="A34" s="166" t="s">
        <v>113</v>
      </c>
      <c r="B34" s="84" t="s">
        <v>1223</v>
      </c>
      <c r="C34" s="179" t="s">
        <v>1222</v>
      </c>
    </row>
    <row r="35" spans="1:3" ht="67.5" customHeight="1" thickBot="1">
      <c r="A35" s="166" t="s">
        <v>113</v>
      </c>
      <c r="B35" s="378" t="s">
        <v>1243</v>
      </c>
      <c r="C35" s="318" t="s">
        <v>1540</v>
      </c>
    </row>
    <row r="36" spans="1:3" ht="67.5" customHeight="1" thickBot="1">
      <c r="A36" s="166" t="s">
        <v>113</v>
      </c>
      <c r="B36" s="378" t="s">
        <v>1112</v>
      </c>
      <c r="C36" s="500" t="s">
        <v>1612</v>
      </c>
    </row>
    <row r="37" spans="1:3" ht="55.5" customHeight="1" thickBot="1">
      <c r="A37" s="166" t="s">
        <v>113</v>
      </c>
      <c r="B37" s="378" t="s">
        <v>1541</v>
      </c>
      <c r="C37" s="318" t="s">
        <v>1542</v>
      </c>
    </row>
    <row r="38" spans="1:3" ht="132" customHeight="1" thickBot="1">
      <c r="A38" s="166" t="s">
        <v>113</v>
      </c>
      <c r="B38" s="84" t="s">
        <v>1505</v>
      </c>
      <c r="C38" s="318" t="s">
        <v>1451</v>
      </c>
    </row>
    <row r="39" spans="1:3" ht="48" thickBot="1">
      <c r="A39" s="166" t="s">
        <v>113</v>
      </c>
      <c r="B39" s="84" t="s">
        <v>1243</v>
      </c>
      <c r="C39" s="179" t="s">
        <v>1242</v>
      </c>
    </row>
    <row r="40" spans="1:3" ht="16.5" thickBot="1">
      <c r="A40" s="166" t="s">
        <v>113</v>
      </c>
      <c r="B40" s="168" t="s">
        <v>1115</v>
      </c>
      <c r="C40" s="11" t="s">
        <v>180</v>
      </c>
    </row>
    <row r="41" spans="1:3" ht="32.25" thickBot="1">
      <c r="A41" s="166" t="s">
        <v>113</v>
      </c>
      <c r="B41" s="169" t="s">
        <v>1116</v>
      </c>
      <c r="C41" s="11" t="s">
        <v>151</v>
      </c>
    </row>
    <row r="42" spans="1:3" ht="63.75" thickBot="1">
      <c r="A42" s="166" t="s">
        <v>113</v>
      </c>
      <c r="B42" s="169" t="s">
        <v>1117</v>
      </c>
      <c r="C42" s="11" t="s">
        <v>1006</v>
      </c>
    </row>
    <row r="43" spans="1:3" ht="63.75" thickBot="1">
      <c r="A43" s="166" t="s">
        <v>113</v>
      </c>
      <c r="B43" s="456" t="s">
        <v>1118</v>
      </c>
      <c r="C43" s="29" t="s">
        <v>731</v>
      </c>
    </row>
    <row r="44" spans="1:3" ht="16.5" thickBot="1">
      <c r="A44" s="166" t="s">
        <v>113</v>
      </c>
      <c r="B44" s="169" t="s">
        <v>1119</v>
      </c>
      <c r="C44" s="11" t="s">
        <v>267</v>
      </c>
    </row>
    <row r="45" spans="1:3" ht="32.25" thickBot="1">
      <c r="A45" s="166" t="s">
        <v>113</v>
      </c>
      <c r="B45" s="169" t="s">
        <v>1120</v>
      </c>
      <c r="C45" s="11" t="s">
        <v>268</v>
      </c>
    </row>
    <row r="46" spans="1:3" ht="32.25" thickBot="1">
      <c r="A46" s="166" t="s">
        <v>113</v>
      </c>
      <c r="B46" s="169" t="s">
        <v>1121</v>
      </c>
      <c r="C46" s="11" t="s">
        <v>25</v>
      </c>
    </row>
    <row r="47" spans="1:3" ht="63.75" thickBot="1">
      <c r="A47" s="166" t="s">
        <v>113</v>
      </c>
      <c r="B47" s="169" t="s">
        <v>1122</v>
      </c>
      <c r="C47" s="126" t="s">
        <v>316</v>
      </c>
    </row>
    <row r="48" spans="1:3" ht="64.5" customHeight="1" thickBot="1">
      <c r="A48" s="166" t="s">
        <v>113</v>
      </c>
      <c r="B48" s="169" t="s">
        <v>1584</v>
      </c>
      <c r="C48" s="450" t="s">
        <v>1579</v>
      </c>
    </row>
    <row r="49" spans="1:3" ht="32.25" thickBot="1">
      <c r="A49" s="166" t="s">
        <v>113</v>
      </c>
      <c r="B49" s="169" t="s">
        <v>1123</v>
      </c>
      <c r="C49" s="11" t="s">
        <v>323</v>
      </c>
    </row>
    <row r="50" spans="1:3" ht="63.75" thickBot="1">
      <c r="A50" s="166" t="s">
        <v>113</v>
      </c>
      <c r="B50" s="169" t="s">
        <v>1254</v>
      </c>
      <c r="C50" s="11" t="s">
        <v>1255</v>
      </c>
    </row>
    <row r="51" spans="1:3" ht="48" thickBot="1">
      <c r="A51" s="166" t="s">
        <v>113</v>
      </c>
      <c r="B51" s="457" t="s">
        <v>1124</v>
      </c>
      <c r="C51" s="127" t="s">
        <v>735</v>
      </c>
    </row>
    <row r="52" spans="1:3" ht="39" customHeight="1" thickBot="1">
      <c r="A52" s="172" t="s">
        <v>147</v>
      </c>
      <c r="B52" s="532" t="s">
        <v>1433</v>
      </c>
      <c r="C52" s="532"/>
    </row>
    <row r="53" spans="1:3" ht="32.25" thickBot="1">
      <c r="A53" s="166" t="s">
        <v>147</v>
      </c>
      <c r="B53" s="28" t="s">
        <v>584</v>
      </c>
      <c r="C53" s="27" t="s">
        <v>166</v>
      </c>
    </row>
    <row r="54" spans="1:3" ht="32.25" thickBot="1">
      <c r="A54" s="166" t="s">
        <v>147</v>
      </c>
      <c r="B54" s="28" t="s">
        <v>585</v>
      </c>
      <c r="C54" s="27" t="s">
        <v>176</v>
      </c>
    </row>
    <row r="55" spans="1:3" ht="16.5" thickBot="1">
      <c r="A55" s="166" t="s">
        <v>147</v>
      </c>
      <c r="B55" s="28" t="s">
        <v>586</v>
      </c>
      <c r="C55" s="27" t="s">
        <v>115</v>
      </c>
    </row>
    <row r="56" spans="1:3" ht="16.5" thickBot="1">
      <c r="A56" s="166" t="s">
        <v>147</v>
      </c>
      <c r="B56" s="28" t="s">
        <v>587</v>
      </c>
      <c r="C56" s="27" t="s">
        <v>117</v>
      </c>
    </row>
    <row r="57" spans="1:3" ht="16.5" thickBot="1">
      <c r="A57" s="166" t="s">
        <v>147</v>
      </c>
      <c r="B57" s="149" t="s">
        <v>1216</v>
      </c>
      <c r="C57" s="150" t="s">
        <v>1040</v>
      </c>
    </row>
    <row r="58" spans="1:3" ht="16.5" thickBot="1">
      <c r="A58" s="166" t="s">
        <v>147</v>
      </c>
      <c r="B58" s="176" t="s">
        <v>1217</v>
      </c>
      <c r="C58" s="181" t="s">
        <v>1214</v>
      </c>
    </row>
    <row r="59" spans="1:3" ht="16.5" thickBot="1">
      <c r="A59" s="160">
        <v>100</v>
      </c>
      <c r="B59" s="532" t="s">
        <v>170</v>
      </c>
      <c r="C59" s="532"/>
    </row>
    <row r="60" spans="1:3" ht="69" customHeight="1" thickBot="1">
      <c r="A60" s="168">
        <v>100</v>
      </c>
      <c r="B60" s="168" t="s">
        <v>580</v>
      </c>
      <c r="C60" s="26" t="s">
        <v>249</v>
      </c>
    </row>
    <row r="61" spans="1:3" ht="69" customHeight="1" thickBot="1">
      <c r="A61" s="168">
        <v>100</v>
      </c>
      <c r="B61" s="168" t="s">
        <v>581</v>
      </c>
      <c r="C61" s="26" t="s">
        <v>188</v>
      </c>
    </row>
    <row r="62" spans="1:3" ht="69" customHeight="1" thickBot="1">
      <c r="A62" s="168">
        <v>100</v>
      </c>
      <c r="B62" s="168" t="s">
        <v>582</v>
      </c>
      <c r="C62" s="26" t="s">
        <v>553</v>
      </c>
    </row>
    <row r="63" spans="1:3" ht="69" customHeight="1" thickBot="1">
      <c r="A63" s="168">
        <v>100</v>
      </c>
      <c r="B63" s="168" t="s">
        <v>583</v>
      </c>
      <c r="C63" s="26" t="s">
        <v>554</v>
      </c>
    </row>
    <row r="64" spans="1:3" ht="16.5" thickBot="1">
      <c r="A64" s="160">
        <v>182</v>
      </c>
      <c r="B64" s="532" t="s">
        <v>168</v>
      </c>
      <c r="C64" s="532"/>
    </row>
    <row r="65" spans="1:3" ht="79.5" thickBot="1">
      <c r="A65" s="168">
        <v>182</v>
      </c>
      <c r="B65" s="168" t="s">
        <v>576</v>
      </c>
      <c r="C65" s="11" t="s">
        <v>173</v>
      </c>
    </row>
    <row r="66" spans="1:3" ht="111" thickBot="1">
      <c r="A66" s="168">
        <v>182</v>
      </c>
      <c r="B66" s="168" t="s">
        <v>577</v>
      </c>
      <c r="C66" s="126" t="s">
        <v>183</v>
      </c>
    </row>
    <row r="67" spans="1:3" ht="48" thickBot="1">
      <c r="A67" s="168">
        <v>182</v>
      </c>
      <c r="B67" s="168" t="s">
        <v>578</v>
      </c>
      <c r="C67" s="26" t="s">
        <v>29</v>
      </c>
    </row>
    <row r="68" spans="1:3" ht="78.75" customHeight="1" thickBot="1">
      <c r="A68" s="168">
        <v>182</v>
      </c>
      <c r="B68" s="168" t="s">
        <v>579</v>
      </c>
      <c r="C68" s="26" t="s">
        <v>734</v>
      </c>
    </row>
    <row r="69" spans="1:3" ht="32.25" thickBot="1">
      <c r="A69" s="168">
        <v>182</v>
      </c>
      <c r="B69" s="28" t="s">
        <v>860</v>
      </c>
      <c r="C69" s="27" t="s">
        <v>264</v>
      </c>
    </row>
    <row r="70" spans="1:3" ht="16.5" thickBot="1">
      <c r="A70" s="168">
        <v>182</v>
      </c>
      <c r="B70" s="28" t="s">
        <v>861</v>
      </c>
      <c r="C70" s="27" t="s">
        <v>291</v>
      </c>
    </row>
    <row r="71" spans="1:3" ht="35.25" customHeight="1" thickBot="1">
      <c r="A71" s="168">
        <v>182</v>
      </c>
      <c r="B71" s="28" t="s">
        <v>732</v>
      </c>
      <c r="C71" s="27" t="s">
        <v>733</v>
      </c>
    </row>
    <row r="72" spans="1:3" ht="16.5" thickBot="1">
      <c r="A72" s="172" t="s">
        <v>153</v>
      </c>
      <c r="B72" s="532" t="s">
        <v>154</v>
      </c>
      <c r="C72" s="532"/>
    </row>
    <row r="73" spans="1:3" ht="32.25" thickBot="1">
      <c r="A73" s="166" t="s">
        <v>153</v>
      </c>
      <c r="B73" s="99" t="s">
        <v>306</v>
      </c>
      <c r="C73" s="26" t="s">
        <v>307</v>
      </c>
    </row>
    <row r="74" spans="1:3" ht="83.25" customHeight="1" thickBot="1">
      <c r="A74" s="166" t="s">
        <v>153</v>
      </c>
      <c r="B74" s="99" t="s">
        <v>976</v>
      </c>
      <c r="C74" s="26" t="s">
        <v>977</v>
      </c>
    </row>
    <row r="75" spans="1:3" ht="79.5" thickBot="1">
      <c r="A75" s="166" t="s">
        <v>153</v>
      </c>
      <c r="B75" s="170" t="s">
        <v>319</v>
      </c>
      <c r="C75" s="11" t="s">
        <v>320</v>
      </c>
    </row>
    <row r="76" spans="1:3" ht="79.5" thickBot="1">
      <c r="A76" s="166">
        <v>900</v>
      </c>
      <c r="B76" s="168" t="s">
        <v>212</v>
      </c>
      <c r="C76" s="11" t="s">
        <v>256</v>
      </c>
    </row>
    <row r="77" spans="1:3" ht="35.25" customHeight="1" thickBot="1">
      <c r="A77" s="166">
        <v>900</v>
      </c>
      <c r="B77" s="168" t="s">
        <v>1227</v>
      </c>
      <c r="C77" s="11" t="s">
        <v>213</v>
      </c>
    </row>
    <row r="78" spans="1:3" ht="79.5" thickBot="1">
      <c r="A78" s="166">
        <v>900</v>
      </c>
      <c r="B78" s="168" t="s">
        <v>214</v>
      </c>
      <c r="C78" s="11" t="s">
        <v>70</v>
      </c>
    </row>
    <row r="79" spans="1:3" ht="79.5" thickBot="1">
      <c r="A79" s="168">
        <v>900</v>
      </c>
      <c r="B79" s="168" t="s">
        <v>218</v>
      </c>
      <c r="C79" s="126" t="s">
        <v>1</v>
      </c>
    </row>
    <row r="80" spans="1:3" ht="32.25" thickBot="1">
      <c r="A80" s="166">
        <v>900</v>
      </c>
      <c r="B80" s="168" t="s">
        <v>77</v>
      </c>
      <c r="C80" s="11" t="s">
        <v>182</v>
      </c>
    </row>
    <row r="81" spans="1:3" ht="49.5" customHeight="1" thickBot="1">
      <c r="A81" s="166" t="s">
        <v>153</v>
      </c>
      <c r="B81" s="168" t="s">
        <v>216</v>
      </c>
      <c r="C81" s="11" t="s">
        <v>144</v>
      </c>
    </row>
    <row r="82" spans="1:3" ht="79.5" customHeight="1" thickBot="1">
      <c r="A82" s="166">
        <v>900</v>
      </c>
      <c r="B82" s="168" t="s">
        <v>217</v>
      </c>
      <c r="C82" s="126" t="s">
        <v>0</v>
      </c>
    </row>
    <row r="83" spans="1:3" ht="63.75" thickBot="1">
      <c r="A83" s="166" t="s">
        <v>153</v>
      </c>
      <c r="B83" s="168" t="s">
        <v>988</v>
      </c>
      <c r="C83" s="26" t="s">
        <v>984</v>
      </c>
    </row>
    <row r="84" spans="1:3" ht="48" thickBot="1">
      <c r="A84" s="166" t="s">
        <v>153</v>
      </c>
      <c r="B84" s="168" t="s">
        <v>322</v>
      </c>
      <c r="C84" s="26" t="s">
        <v>321</v>
      </c>
    </row>
    <row r="85" spans="1:3" ht="79.5" thickBot="1">
      <c r="A85" s="166" t="s">
        <v>153</v>
      </c>
      <c r="B85" s="168" t="s">
        <v>1434</v>
      </c>
      <c r="C85" s="26" t="s">
        <v>1435</v>
      </c>
    </row>
    <row r="86" spans="1:3" ht="79.5" customHeight="1" thickBot="1">
      <c r="A86" s="166" t="s">
        <v>153</v>
      </c>
      <c r="B86" s="168" t="s">
        <v>1493</v>
      </c>
      <c r="C86" s="26" t="s">
        <v>1495</v>
      </c>
    </row>
    <row r="87" spans="1:3" ht="81" customHeight="1" thickBot="1">
      <c r="A87" s="166" t="s">
        <v>153</v>
      </c>
      <c r="B87" s="168" t="s">
        <v>1494</v>
      </c>
      <c r="C87" s="26" t="s">
        <v>1496</v>
      </c>
    </row>
    <row r="88" spans="1:3" ht="32.25" thickBot="1">
      <c r="A88" s="173">
        <v>900</v>
      </c>
      <c r="B88" s="169" t="s">
        <v>81</v>
      </c>
      <c r="C88" s="159" t="s">
        <v>16</v>
      </c>
    </row>
    <row r="89" spans="1:3" ht="16.5" thickBot="1">
      <c r="A89" s="166">
        <v>900</v>
      </c>
      <c r="B89" s="168" t="s">
        <v>82</v>
      </c>
      <c r="C89" s="11" t="s">
        <v>49</v>
      </c>
    </row>
    <row r="90" spans="1:3" ht="32.25" thickBot="1">
      <c r="A90" s="166" t="s">
        <v>153</v>
      </c>
      <c r="B90" s="168" t="s">
        <v>1123</v>
      </c>
      <c r="C90" s="450" t="s">
        <v>323</v>
      </c>
    </row>
    <row r="91" spans="1:3" ht="48" customHeight="1" thickBot="1">
      <c r="A91" s="166" t="s">
        <v>153</v>
      </c>
      <c r="B91" s="168" t="s">
        <v>1509</v>
      </c>
      <c r="C91" s="11" t="s">
        <v>1510</v>
      </c>
    </row>
    <row r="92" spans="1:3" ht="40.5" customHeight="1" thickBot="1">
      <c r="A92" s="166" t="s">
        <v>153</v>
      </c>
      <c r="B92" s="168" t="s">
        <v>1562</v>
      </c>
      <c r="C92" s="450" t="s">
        <v>1557</v>
      </c>
    </row>
    <row r="93" spans="1:3" ht="16.5" thickBot="1">
      <c r="A93" s="172" t="s">
        <v>127</v>
      </c>
      <c r="B93" s="532" t="s">
        <v>126</v>
      </c>
      <c r="C93" s="532"/>
    </row>
    <row r="94" spans="1:3" ht="32.25" thickBot="1">
      <c r="A94" s="173" t="s">
        <v>127</v>
      </c>
      <c r="B94" s="169" t="s">
        <v>81</v>
      </c>
      <c r="C94" s="159" t="s">
        <v>16</v>
      </c>
    </row>
    <row r="95" spans="1:3" ht="16.5" thickBot="1">
      <c r="A95" s="166" t="s">
        <v>127</v>
      </c>
      <c r="B95" s="168" t="s">
        <v>82</v>
      </c>
      <c r="C95" s="11" t="s">
        <v>49</v>
      </c>
    </row>
    <row r="96" spans="1:3" ht="16.5" thickBot="1">
      <c r="A96" s="172">
        <v>909</v>
      </c>
      <c r="B96" s="532" t="s">
        <v>89</v>
      </c>
      <c r="C96" s="532"/>
    </row>
    <row r="97" spans="1:3" ht="32.25" thickBot="1">
      <c r="A97" s="166">
        <v>909</v>
      </c>
      <c r="B97" s="168" t="s">
        <v>77</v>
      </c>
      <c r="C97" s="11" t="s">
        <v>215</v>
      </c>
    </row>
    <row r="98" spans="1:3" ht="32.25" thickBot="1">
      <c r="A98" s="166">
        <v>909</v>
      </c>
      <c r="B98" s="168" t="s">
        <v>81</v>
      </c>
      <c r="C98" s="182" t="s">
        <v>16</v>
      </c>
    </row>
    <row r="99" spans="1:3" ht="16.5" thickBot="1">
      <c r="A99" s="166">
        <v>909</v>
      </c>
      <c r="B99" s="168" t="s">
        <v>82</v>
      </c>
      <c r="C99" s="11" t="s">
        <v>49</v>
      </c>
    </row>
    <row r="100" spans="1:3" ht="16.5" thickBot="1">
      <c r="A100" s="172" t="s">
        <v>293</v>
      </c>
      <c r="B100" s="532" t="s">
        <v>248</v>
      </c>
      <c r="C100" s="532"/>
    </row>
    <row r="101" spans="1:3" ht="32.25" thickBot="1">
      <c r="A101" s="173" t="s">
        <v>293</v>
      </c>
      <c r="B101" s="169" t="s">
        <v>77</v>
      </c>
      <c r="C101" s="159" t="s">
        <v>182</v>
      </c>
    </row>
    <row r="102" spans="1:3" ht="32.25" thickBot="1">
      <c r="A102" s="166" t="s">
        <v>293</v>
      </c>
      <c r="B102" s="168" t="s">
        <v>81</v>
      </c>
      <c r="C102" s="182" t="s">
        <v>16</v>
      </c>
    </row>
    <row r="103" spans="1:3" ht="16.5" thickBot="1">
      <c r="A103" s="166" t="s">
        <v>293</v>
      </c>
      <c r="B103" s="168" t="s">
        <v>82</v>
      </c>
      <c r="C103" s="11" t="s">
        <v>49</v>
      </c>
    </row>
  </sheetData>
  <sheetProtection/>
  <mergeCells count="15">
    <mergeCell ref="B11:C11"/>
    <mergeCell ref="A2:C2"/>
    <mergeCell ref="B3:C3"/>
    <mergeCell ref="A5:C5"/>
    <mergeCell ref="A6:C6"/>
    <mergeCell ref="A8:B8"/>
    <mergeCell ref="C8:C9"/>
    <mergeCell ref="B52:C52"/>
    <mergeCell ref="B93:C93"/>
    <mergeCell ref="B64:C64"/>
    <mergeCell ref="B59:C59"/>
    <mergeCell ref="B17:C17"/>
    <mergeCell ref="B100:C100"/>
    <mergeCell ref="B72:C72"/>
    <mergeCell ref="B96:C96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70" zoomScaleSheetLayoutView="70" zoomScalePageLayoutView="0" workbookViewId="0" topLeftCell="B1">
      <selection activeCell="L31" sqref="L31"/>
    </sheetView>
  </sheetViews>
  <sheetFormatPr defaultColWidth="9.140625" defaultRowHeight="12.75"/>
  <cols>
    <col min="1" max="1" width="29.140625" style="123" customWidth="1"/>
    <col min="2" max="2" width="58.7109375" style="123" customWidth="1"/>
    <col min="3" max="3" width="20.00390625" style="82" customWidth="1"/>
    <col min="4" max="4" width="19.7109375" style="82" customWidth="1"/>
    <col min="5" max="5" width="21.140625" style="82" customWidth="1"/>
    <col min="6" max="6" width="18.421875" style="123" customWidth="1"/>
    <col min="7" max="8" width="16.57421875" style="123" bestFit="1" customWidth="1"/>
    <col min="9" max="16384" width="9.140625" style="123" customWidth="1"/>
  </cols>
  <sheetData>
    <row r="1" spans="1:5" ht="15">
      <c r="A1" s="1"/>
      <c r="E1" s="493" t="s">
        <v>90</v>
      </c>
    </row>
    <row r="2" spans="1:5" ht="15">
      <c r="A2" s="1"/>
      <c r="C2" s="535" t="s">
        <v>112</v>
      </c>
      <c r="D2" s="535"/>
      <c r="E2" s="535"/>
    </row>
    <row r="3" spans="1:5" ht="15">
      <c r="A3" s="1"/>
      <c r="B3" s="1"/>
      <c r="C3" s="495"/>
      <c r="D3" s="493"/>
      <c r="E3" s="493" t="s">
        <v>1441</v>
      </c>
    </row>
    <row r="4" spans="1:2" ht="15">
      <c r="A4" s="1"/>
      <c r="B4" s="1"/>
    </row>
    <row r="5" spans="1:5" ht="31.5" customHeight="1">
      <c r="A5" s="534" t="s">
        <v>1260</v>
      </c>
      <c r="B5" s="534"/>
      <c r="C5" s="534"/>
      <c r="D5" s="534"/>
      <c r="E5" s="534"/>
    </row>
    <row r="6" spans="1:3" ht="18.75" customHeight="1">
      <c r="A6" s="519" t="s">
        <v>1444</v>
      </c>
      <c r="B6" s="519"/>
      <c r="C6" s="519"/>
    </row>
    <row r="7" spans="1:2" ht="15.75" thickBot="1">
      <c r="A7" s="4"/>
      <c r="B7" s="4"/>
    </row>
    <row r="8" spans="1:5" ht="16.5" thickBot="1">
      <c r="A8" s="536" t="s">
        <v>87</v>
      </c>
      <c r="B8" s="536" t="s">
        <v>88</v>
      </c>
      <c r="C8" s="538" t="s">
        <v>209</v>
      </c>
      <c r="D8" s="539"/>
      <c r="E8" s="539"/>
    </row>
    <row r="9" spans="1:6" ht="57.75" customHeight="1" thickBot="1">
      <c r="A9" s="537"/>
      <c r="B9" s="537"/>
      <c r="C9" s="496" t="s">
        <v>640</v>
      </c>
      <c r="D9" s="496" t="s">
        <v>641</v>
      </c>
      <c r="E9" s="496" t="s">
        <v>642</v>
      </c>
      <c r="F9" s="442"/>
    </row>
    <row r="10" spans="1:6" ht="24" customHeight="1" thickBot="1">
      <c r="A10" s="13" t="s">
        <v>219</v>
      </c>
      <c r="B10" s="12" t="s">
        <v>39</v>
      </c>
      <c r="C10" s="497">
        <f>C24</f>
        <v>22021850.24000001</v>
      </c>
      <c r="D10" s="497">
        <f>D24</f>
        <v>0</v>
      </c>
      <c r="E10" s="497">
        <f>E24</f>
        <v>0</v>
      </c>
      <c r="F10" s="440"/>
    </row>
    <row r="11" spans="1:3" ht="16.5" customHeight="1" hidden="1" thickBot="1">
      <c r="A11" s="13" t="s">
        <v>41</v>
      </c>
      <c r="B11" s="12" t="s">
        <v>40</v>
      </c>
      <c r="C11" s="488">
        <f>C18</f>
        <v>0</v>
      </c>
    </row>
    <row r="12" spans="1:3" ht="32.25" customHeight="1" hidden="1" thickBot="1">
      <c r="A12" s="8" t="s">
        <v>43</v>
      </c>
      <c r="B12" s="14" t="s">
        <v>42</v>
      </c>
      <c r="C12" s="491">
        <v>0</v>
      </c>
    </row>
    <row r="13" spans="1:3" ht="32.25" customHeight="1" hidden="1" thickBot="1">
      <c r="A13" s="8" t="s">
        <v>45</v>
      </c>
      <c r="B13" s="14" t="s">
        <v>44</v>
      </c>
      <c r="C13" s="491">
        <v>0</v>
      </c>
    </row>
    <row r="14" spans="1:3" ht="32.25" customHeight="1" hidden="1" thickBot="1">
      <c r="A14" s="8" t="s">
        <v>47</v>
      </c>
      <c r="B14" s="14" t="s">
        <v>46</v>
      </c>
      <c r="C14" s="491">
        <v>0</v>
      </c>
    </row>
    <row r="15" spans="1:3" ht="32.25" customHeight="1" hidden="1" thickBot="1">
      <c r="A15" s="8" t="s">
        <v>298</v>
      </c>
      <c r="B15" s="14" t="s">
        <v>297</v>
      </c>
      <c r="C15" s="491">
        <v>0</v>
      </c>
    </row>
    <row r="16" spans="1:3" ht="32.25" customHeight="1" hidden="1" thickBot="1">
      <c r="A16" s="8" t="s">
        <v>300</v>
      </c>
      <c r="B16" s="14" t="s">
        <v>299</v>
      </c>
      <c r="C16" s="491">
        <v>0</v>
      </c>
    </row>
    <row r="17" spans="1:3" ht="48" customHeight="1" hidden="1" thickBot="1">
      <c r="A17" s="13" t="s">
        <v>302</v>
      </c>
      <c r="B17" s="12" t="s">
        <v>301</v>
      </c>
      <c r="C17" s="488">
        <f>C19</f>
        <v>0</v>
      </c>
    </row>
    <row r="18" spans="1:3" ht="48" customHeight="1" hidden="1" thickBot="1">
      <c r="A18" s="13" t="s">
        <v>67</v>
      </c>
      <c r="B18" s="12" t="s">
        <v>66</v>
      </c>
      <c r="C18" s="488">
        <f>C20</f>
        <v>0</v>
      </c>
    </row>
    <row r="19" spans="1:3" ht="63.75" customHeight="1" hidden="1" thickBot="1">
      <c r="A19" s="8" t="s">
        <v>221</v>
      </c>
      <c r="B19" s="14" t="s">
        <v>220</v>
      </c>
      <c r="C19" s="491">
        <v>0</v>
      </c>
    </row>
    <row r="20" spans="1:3" ht="48" customHeight="1" hidden="1" thickBot="1">
      <c r="A20" s="8" t="s">
        <v>313</v>
      </c>
      <c r="B20" s="14" t="s">
        <v>312</v>
      </c>
      <c r="C20" s="491">
        <v>0</v>
      </c>
    </row>
    <row r="21" spans="1:3" ht="32.25" customHeight="1" hidden="1" thickBot="1">
      <c r="A21" s="8" t="s">
        <v>258</v>
      </c>
      <c r="B21" s="14" t="s">
        <v>257</v>
      </c>
      <c r="C21" s="491">
        <v>0</v>
      </c>
    </row>
    <row r="22" spans="1:3" ht="32.25" customHeight="1" hidden="1" thickBot="1">
      <c r="A22" s="8" t="s">
        <v>4</v>
      </c>
      <c r="B22" s="14" t="s">
        <v>259</v>
      </c>
      <c r="C22" s="491">
        <v>0</v>
      </c>
    </row>
    <row r="23" spans="1:3" ht="48" customHeight="1" hidden="1" thickBot="1">
      <c r="A23" s="8" t="s">
        <v>6</v>
      </c>
      <c r="B23" s="14" t="s">
        <v>5</v>
      </c>
      <c r="C23" s="491">
        <v>0</v>
      </c>
    </row>
    <row r="24" spans="1:5" ht="25.5" customHeight="1" thickBot="1">
      <c r="A24" s="13" t="s">
        <v>8</v>
      </c>
      <c r="B24" s="12" t="s">
        <v>7</v>
      </c>
      <c r="C24" s="497">
        <f>C25+C26</f>
        <v>22021850.24000001</v>
      </c>
      <c r="D24" s="497">
        <f>D25+D26</f>
        <v>0</v>
      </c>
      <c r="E24" s="497">
        <f>E25+E26</f>
        <v>0</v>
      </c>
    </row>
    <row r="25" spans="1:8" ht="24" customHeight="1" thickBot="1">
      <c r="A25" s="9" t="s">
        <v>10</v>
      </c>
      <c r="B25" s="11" t="s">
        <v>9</v>
      </c>
      <c r="C25" s="491">
        <v>-393295188.06</v>
      </c>
      <c r="D25" s="491">
        <v>-326175178.23</v>
      </c>
      <c r="E25" s="491">
        <v>-317955166.56</v>
      </c>
      <c r="F25" s="440"/>
      <c r="G25" s="440"/>
      <c r="H25" s="440"/>
    </row>
    <row r="26" spans="1:8" ht="19.5" customHeight="1" thickBot="1">
      <c r="A26" s="8" t="s">
        <v>12</v>
      </c>
      <c r="B26" s="14" t="s">
        <v>11</v>
      </c>
      <c r="C26" s="492">
        <v>415317038.3</v>
      </c>
      <c r="D26" s="491">
        <v>326175178.23</v>
      </c>
      <c r="E26" s="491">
        <v>317955166.56</v>
      </c>
      <c r="F26" s="440"/>
      <c r="G26" s="440"/>
      <c r="H26" s="440"/>
    </row>
    <row r="27" spans="1:5" ht="36" customHeight="1" thickBot="1">
      <c r="A27" s="13" t="s">
        <v>14</v>
      </c>
      <c r="B27" s="12" t="s">
        <v>13</v>
      </c>
      <c r="C27" s="488">
        <f>C25</f>
        <v>-393295188.06</v>
      </c>
      <c r="D27" s="488">
        <f>D25</f>
        <v>-326175178.23</v>
      </c>
      <c r="E27" s="488">
        <f>E25</f>
        <v>-317955166.56</v>
      </c>
    </row>
    <row r="28" spans="1:5" ht="36" customHeight="1" thickBot="1">
      <c r="A28" s="13" t="s">
        <v>272</v>
      </c>
      <c r="B28" s="12" t="s">
        <v>271</v>
      </c>
      <c r="C28" s="488">
        <f>C25</f>
        <v>-393295188.06</v>
      </c>
      <c r="D28" s="488">
        <f>D25</f>
        <v>-326175178.23</v>
      </c>
      <c r="E28" s="488">
        <f>E25</f>
        <v>-317955166.56</v>
      </c>
    </row>
    <row r="29" spans="1:5" ht="36" customHeight="1" thickBot="1">
      <c r="A29" s="13" t="s">
        <v>274</v>
      </c>
      <c r="B29" s="12" t="s">
        <v>273</v>
      </c>
      <c r="C29" s="488">
        <f aca="true" t="shared" si="0" ref="C29:E30">C25</f>
        <v>-393295188.06</v>
      </c>
      <c r="D29" s="488">
        <f t="shared" si="0"/>
        <v>-326175178.23</v>
      </c>
      <c r="E29" s="488">
        <f t="shared" si="0"/>
        <v>-317955166.56</v>
      </c>
    </row>
    <row r="30" spans="1:5" ht="36" customHeight="1" thickBot="1">
      <c r="A30" s="13" t="s">
        <v>276</v>
      </c>
      <c r="B30" s="12" t="s">
        <v>275</v>
      </c>
      <c r="C30" s="488">
        <f t="shared" si="0"/>
        <v>415317038.3</v>
      </c>
      <c r="D30" s="488">
        <f t="shared" si="0"/>
        <v>326175178.23</v>
      </c>
      <c r="E30" s="488">
        <f t="shared" si="0"/>
        <v>317955166.56</v>
      </c>
    </row>
    <row r="31" spans="1:5" ht="36" customHeight="1" thickBot="1">
      <c r="A31" s="13" t="s">
        <v>278</v>
      </c>
      <c r="B31" s="12" t="s">
        <v>277</v>
      </c>
      <c r="C31" s="498">
        <f>C26</f>
        <v>415317038.3</v>
      </c>
      <c r="D31" s="498">
        <f>D26</f>
        <v>326175178.23</v>
      </c>
      <c r="E31" s="498">
        <f>E26</f>
        <v>317955166.56</v>
      </c>
    </row>
    <row r="32" spans="1:5" ht="36" customHeight="1">
      <c r="A32" s="58" t="s">
        <v>86</v>
      </c>
      <c r="B32" s="187" t="s">
        <v>85</v>
      </c>
      <c r="C32" s="499">
        <f>C26</f>
        <v>415317038.3</v>
      </c>
      <c r="D32" s="499">
        <f>D26</f>
        <v>326175178.23</v>
      </c>
      <c r="E32" s="499">
        <f>E26</f>
        <v>317955166.56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80" zoomScaleNormal="80" zoomScaleSheetLayoutView="80" workbookViewId="0" topLeftCell="B1">
      <selection activeCell="F43" sqref="F43:F44"/>
    </sheetView>
  </sheetViews>
  <sheetFormatPr defaultColWidth="9.140625" defaultRowHeight="12.75"/>
  <cols>
    <col min="1" max="1" width="9.7109375" style="123" customWidth="1"/>
    <col min="2" max="2" width="29.57421875" style="123" customWidth="1"/>
    <col min="3" max="3" width="49.8515625" style="123" customWidth="1"/>
    <col min="4" max="4" width="24.28125" style="82" customWidth="1"/>
    <col min="5" max="5" width="21.57421875" style="82" customWidth="1"/>
    <col min="6" max="6" width="23.28125" style="82" customWidth="1"/>
    <col min="7" max="7" width="21.7109375" style="123" customWidth="1"/>
    <col min="8" max="8" width="18.8515625" style="123" customWidth="1"/>
    <col min="9" max="9" width="21.7109375" style="123" customWidth="1"/>
    <col min="10" max="16384" width="9.140625" style="123" customWidth="1"/>
  </cols>
  <sheetData>
    <row r="1" spans="1:6" ht="15">
      <c r="A1" s="1"/>
      <c r="B1" s="1"/>
      <c r="C1" s="326"/>
      <c r="F1" s="493" t="s">
        <v>185</v>
      </c>
    </row>
    <row r="2" spans="2:6" ht="15.75">
      <c r="B2" s="10"/>
      <c r="C2" s="521" t="s">
        <v>112</v>
      </c>
      <c r="D2" s="521"/>
      <c r="E2" s="521"/>
      <c r="F2" s="521"/>
    </row>
    <row r="3" spans="1:6" ht="15">
      <c r="A3" s="1"/>
      <c r="C3" s="326"/>
      <c r="D3" s="535" t="s">
        <v>1441</v>
      </c>
      <c r="E3" s="535"/>
      <c r="F3" s="535"/>
    </row>
    <row r="4" spans="1:3" ht="15">
      <c r="A4" s="4"/>
      <c r="B4" s="4"/>
      <c r="C4" s="4"/>
    </row>
    <row r="5" spans="1:6" ht="68.25" customHeight="1">
      <c r="A5" s="534" t="s">
        <v>1261</v>
      </c>
      <c r="B5" s="534"/>
      <c r="C5" s="534"/>
      <c r="D5" s="534"/>
      <c r="E5" s="534"/>
      <c r="F5" s="534"/>
    </row>
    <row r="6" spans="1:5" ht="18.75" customHeight="1">
      <c r="A6" s="519" t="s">
        <v>1446</v>
      </c>
      <c r="B6" s="519"/>
      <c r="C6" s="519"/>
      <c r="D6" s="519"/>
      <c r="E6" s="494"/>
    </row>
    <row r="7" spans="1:4" ht="16.5" thickBot="1">
      <c r="A7" s="3"/>
      <c r="B7" s="4"/>
      <c r="C7" s="4"/>
      <c r="D7" s="489"/>
    </row>
    <row r="8" spans="1:6" ht="36.75" customHeight="1" thickBot="1">
      <c r="A8" s="544" t="s">
        <v>187</v>
      </c>
      <c r="B8" s="545"/>
      <c r="C8" s="546" t="s">
        <v>279</v>
      </c>
      <c r="D8" s="542" t="s">
        <v>876</v>
      </c>
      <c r="E8" s="542" t="s">
        <v>1045</v>
      </c>
      <c r="F8" s="542" t="s">
        <v>1262</v>
      </c>
    </row>
    <row r="9" spans="1:6" ht="83.25" customHeight="1" thickBot="1">
      <c r="A9" s="5" t="s">
        <v>186</v>
      </c>
      <c r="B9" s="6" t="s">
        <v>177</v>
      </c>
      <c r="C9" s="547"/>
      <c r="D9" s="543"/>
      <c r="E9" s="543"/>
      <c r="F9" s="543"/>
    </row>
    <row r="10" spans="1:6" ht="16.5" thickBot="1">
      <c r="A10" s="7">
        <v>1</v>
      </c>
      <c r="B10" s="6">
        <v>2</v>
      </c>
      <c r="C10" s="6">
        <v>3</v>
      </c>
      <c r="D10" s="490">
        <v>4</v>
      </c>
      <c r="E10" s="490">
        <v>5</v>
      </c>
      <c r="F10" s="490">
        <v>6</v>
      </c>
    </row>
    <row r="11" spans="1:6" ht="21" customHeight="1" thickBot="1">
      <c r="A11" s="130" t="s">
        <v>113</v>
      </c>
      <c r="B11" s="540" t="s">
        <v>184</v>
      </c>
      <c r="C11" s="541"/>
      <c r="D11" s="541"/>
      <c r="E11" s="541"/>
      <c r="F11" s="541"/>
    </row>
    <row r="12" spans="1:7" ht="35.25" customHeight="1" thickBot="1">
      <c r="A12" s="59" t="s">
        <v>113</v>
      </c>
      <c r="B12" s="59" t="s">
        <v>19</v>
      </c>
      <c r="C12" s="60" t="s">
        <v>39</v>
      </c>
      <c r="D12" s="488">
        <f>D26</f>
        <v>22021850.24000001</v>
      </c>
      <c r="E12" s="488">
        <f>SUM(E27:E28)</f>
        <v>0</v>
      </c>
      <c r="F12" s="488">
        <f>SUM(F27:F28)</f>
        <v>0</v>
      </c>
      <c r="G12" s="440"/>
    </row>
    <row r="13" spans="1:4" ht="51" customHeight="1" hidden="1" thickBot="1">
      <c r="A13" s="13" t="s">
        <v>113</v>
      </c>
      <c r="B13" s="13" t="s">
        <v>41</v>
      </c>
      <c r="C13" s="12" t="s">
        <v>40</v>
      </c>
      <c r="D13" s="488">
        <v>0</v>
      </c>
    </row>
    <row r="14" spans="1:4" ht="51" customHeight="1" hidden="1" thickBot="1">
      <c r="A14" s="13" t="s">
        <v>113</v>
      </c>
      <c r="B14" s="13" t="s">
        <v>43</v>
      </c>
      <c r="C14" s="12" t="s">
        <v>42</v>
      </c>
      <c r="D14" s="488">
        <v>0</v>
      </c>
    </row>
    <row r="15" spans="1:4" ht="51" customHeight="1" hidden="1" thickBot="1">
      <c r="A15" s="13" t="s">
        <v>113</v>
      </c>
      <c r="B15" s="13" t="s">
        <v>45</v>
      </c>
      <c r="C15" s="12" t="s">
        <v>44</v>
      </c>
      <c r="D15" s="488">
        <v>0</v>
      </c>
    </row>
    <row r="16" spans="1:4" ht="35.25" customHeight="1" hidden="1" thickBot="1">
      <c r="A16" s="13" t="s">
        <v>113</v>
      </c>
      <c r="B16" s="13" t="s">
        <v>47</v>
      </c>
      <c r="C16" s="12" t="s">
        <v>46</v>
      </c>
      <c r="D16" s="488">
        <v>0</v>
      </c>
    </row>
    <row r="17" spans="1:4" ht="34.5" customHeight="1" hidden="1" thickBot="1">
      <c r="A17" s="13" t="s">
        <v>113</v>
      </c>
      <c r="B17" s="13" t="s">
        <v>298</v>
      </c>
      <c r="C17" s="12" t="s">
        <v>297</v>
      </c>
      <c r="D17" s="488">
        <v>0</v>
      </c>
    </row>
    <row r="18" spans="1:4" ht="37.5" customHeight="1" hidden="1" thickBot="1">
      <c r="A18" s="13" t="s">
        <v>113</v>
      </c>
      <c r="B18" s="13" t="s">
        <v>300</v>
      </c>
      <c r="C18" s="12" t="s">
        <v>299</v>
      </c>
      <c r="D18" s="488">
        <v>0</v>
      </c>
    </row>
    <row r="19" spans="1:4" ht="51.75" customHeight="1" hidden="1" thickBot="1">
      <c r="A19" s="13" t="s">
        <v>113</v>
      </c>
      <c r="B19" s="13" t="s">
        <v>302</v>
      </c>
      <c r="C19" s="12" t="s">
        <v>301</v>
      </c>
      <c r="D19" s="488">
        <v>0</v>
      </c>
    </row>
    <row r="20" spans="1:4" ht="95.25" customHeight="1" hidden="1" thickBot="1">
      <c r="A20" s="13" t="s">
        <v>113</v>
      </c>
      <c r="B20" s="13" t="s">
        <v>67</v>
      </c>
      <c r="C20" s="12" t="s">
        <v>66</v>
      </c>
      <c r="D20" s="488">
        <v>0</v>
      </c>
    </row>
    <row r="21" spans="1:4" ht="95.25" customHeight="1" hidden="1" thickBot="1">
      <c r="A21" s="13" t="s">
        <v>113</v>
      </c>
      <c r="B21" s="13" t="s">
        <v>221</v>
      </c>
      <c r="C21" s="12" t="s">
        <v>220</v>
      </c>
      <c r="D21" s="488">
        <v>0</v>
      </c>
    </row>
    <row r="22" spans="1:4" ht="95.25" customHeight="1" hidden="1" thickBot="1">
      <c r="A22" s="13" t="s">
        <v>113</v>
      </c>
      <c r="B22" s="13" t="s">
        <v>313</v>
      </c>
      <c r="C22" s="12" t="s">
        <v>312</v>
      </c>
      <c r="D22" s="488">
        <v>0</v>
      </c>
    </row>
    <row r="23" spans="1:4" ht="48" customHeight="1" hidden="1" thickBot="1">
      <c r="A23" s="13" t="s">
        <v>113</v>
      </c>
      <c r="B23" s="13" t="s">
        <v>258</v>
      </c>
      <c r="C23" s="12" t="s">
        <v>257</v>
      </c>
      <c r="D23" s="488">
        <v>0</v>
      </c>
    </row>
    <row r="24" spans="1:4" ht="63.75" customHeight="1" hidden="1" thickBot="1">
      <c r="A24" s="13" t="s">
        <v>113</v>
      </c>
      <c r="B24" s="13" t="s">
        <v>4</v>
      </c>
      <c r="C24" s="12" t="s">
        <v>259</v>
      </c>
      <c r="D24" s="488">
        <v>0</v>
      </c>
    </row>
    <row r="25" spans="1:4" ht="79.5" customHeight="1" hidden="1" thickBot="1">
      <c r="A25" s="13" t="s">
        <v>113</v>
      </c>
      <c r="B25" s="13" t="s">
        <v>6</v>
      </c>
      <c r="C25" s="12" t="s">
        <v>5</v>
      </c>
      <c r="D25" s="488">
        <v>0</v>
      </c>
    </row>
    <row r="26" spans="1:7" ht="16.5" thickBot="1">
      <c r="A26" s="13" t="s">
        <v>113</v>
      </c>
      <c r="B26" s="13" t="s">
        <v>20</v>
      </c>
      <c r="C26" s="12" t="s">
        <v>7</v>
      </c>
      <c r="D26" s="488">
        <f>D27+D28</f>
        <v>22021850.24000001</v>
      </c>
      <c r="E26" s="488">
        <f>SUM(E27:E28)</f>
        <v>0</v>
      </c>
      <c r="F26" s="488">
        <f>SUM(F27:F28)</f>
        <v>0</v>
      </c>
      <c r="G26" s="442"/>
    </row>
    <row r="27" spans="1:9" ht="16.5" thickBot="1">
      <c r="A27" s="8" t="s">
        <v>113</v>
      </c>
      <c r="B27" s="9" t="s">
        <v>21</v>
      </c>
      <c r="C27" s="11" t="s">
        <v>9</v>
      </c>
      <c r="D27" s="491">
        <v>-393295188.06</v>
      </c>
      <c r="E27" s="491">
        <v>-326175178.23</v>
      </c>
      <c r="F27" s="491">
        <v>-317955166.56</v>
      </c>
      <c r="G27" s="440"/>
      <c r="H27" s="440"/>
      <c r="I27" s="440"/>
    </row>
    <row r="28" spans="1:9" ht="16.5" thickBot="1">
      <c r="A28" s="8" t="s">
        <v>113</v>
      </c>
      <c r="B28" s="8" t="s">
        <v>22</v>
      </c>
      <c r="C28" s="14" t="s">
        <v>11</v>
      </c>
      <c r="D28" s="492">
        <v>415317038.3</v>
      </c>
      <c r="E28" s="491">
        <v>326175178.23</v>
      </c>
      <c r="F28" s="491">
        <v>317955166.56</v>
      </c>
      <c r="G28" s="440"/>
      <c r="H28" s="440"/>
      <c r="I28" s="440"/>
    </row>
    <row r="29" spans="1:6" ht="32.25" thickBot="1">
      <c r="A29" s="13" t="s">
        <v>113</v>
      </c>
      <c r="B29" s="13" t="s">
        <v>23</v>
      </c>
      <c r="C29" s="12" t="s">
        <v>13</v>
      </c>
      <c r="D29" s="488">
        <f>D27</f>
        <v>-393295188.06</v>
      </c>
      <c r="E29" s="488">
        <f>SUM(E27)</f>
        <v>-326175178.23</v>
      </c>
      <c r="F29" s="488">
        <f>SUM(F27)</f>
        <v>-317955166.56</v>
      </c>
    </row>
    <row r="30" spans="1:7" ht="32.25" thickBot="1">
      <c r="A30" s="13" t="s">
        <v>113</v>
      </c>
      <c r="B30" s="13" t="s">
        <v>24</v>
      </c>
      <c r="C30" s="12" t="s">
        <v>271</v>
      </c>
      <c r="D30" s="488">
        <f>D27</f>
        <v>-393295188.06</v>
      </c>
      <c r="E30" s="488">
        <f>SUM(E27)</f>
        <v>-326175178.23</v>
      </c>
      <c r="F30" s="488">
        <f>SUM(F27)</f>
        <v>-317955166.56</v>
      </c>
      <c r="G30" s="442"/>
    </row>
    <row r="31" spans="1:6" ht="32.25" thickBot="1">
      <c r="A31" s="13" t="s">
        <v>113</v>
      </c>
      <c r="B31" s="13" t="s">
        <v>122</v>
      </c>
      <c r="C31" s="12" t="s">
        <v>273</v>
      </c>
      <c r="D31" s="488">
        <f>D27</f>
        <v>-393295188.06</v>
      </c>
      <c r="E31" s="488">
        <f>SUM(E29)</f>
        <v>-326175178.23</v>
      </c>
      <c r="F31" s="488">
        <f>SUM(F29)</f>
        <v>-317955166.56</v>
      </c>
    </row>
    <row r="32" spans="1:6" ht="32.25" thickBot="1">
      <c r="A32" s="13" t="s">
        <v>113</v>
      </c>
      <c r="B32" s="13" t="s">
        <v>123</v>
      </c>
      <c r="C32" s="12" t="s">
        <v>275</v>
      </c>
      <c r="D32" s="488">
        <f>D28</f>
        <v>415317038.3</v>
      </c>
      <c r="E32" s="488">
        <f>SUM(E28)</f>
        <v>326175178.23</v>
      </c>
      <c r="F32" s="488">
        <f>SUM(F28)</f>
        <v>317955166.56</v>
      </c>
    </row>
    <row r="33" spans="1:6" ht="32.25" thickBot="1">
      <c r="A33" s="13" t="s">
        <v>113</v>
      </c>
      <c r="B33" s="13" t="s">
        <v>124</v>
      </c>
      <c r="C33" s="12" t="s">
        <v>277</v>
      </c>
      <c r="D33" s="488">
        <f>D28</f>
        <v>415317038.3</v>
      </c>
      <c r="E33" s="488">
        <f>SUM(E28)</f>
        <v>326175178.23</v>
      </c>
      <c r="F33" s="488">
        <f>SUM(F28)</f>
        <v>317955166.56</v>
      </c>
    </row>
    <row r="34" spans="1:6" ht="32.25" thickBot="1">
      <c r="A34" s="13" t="s">
        <v>113</v>
      </c>
      <c r="B34" s="13" t="s">
        <v>125</v>
      </c>
      <c r="C34" s="12" t="s">
        <v>85</v>
      </c>
      <c r="D34" s="488">
        <f>D28</f>
        <v>415317038.3</v>
      </c>
      <c r="E34" s="488">
        <f>SUM(E28)</f>
        <v>326175178.23</v>
      </c>
      <c r="F34" s="488">
        <f>SUM(F28)</f>
        <v>317955166.56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8"/>
  <sheetViews>
    <sheetView view="pageBreakPreview" zoomScale="70" zoomScaleNormal="80" zoomScaleSheetLayoutView="70" workbookViewId="0" topLeftCell="A1">
      <selection activeCell="J313" sqref="J1:Q16384"/>
    </sheetView>
  </sheetViews>
  <sheetFormatPr defaultColWidth="9.140625" defaultRowHeight="12.75"/>
  <cols>
    <col min="1" max="1" width="70.00390625" style="123" customWidth="1"/>
    <col min="2" max="2" width="16.140625" style="123" customWidth="1"/>
    <col min="3" max="3" width="11.57421875" style="123" customWidth="1"/>
    <col min="4" max="4" width="0.5625" style="123" hidden="1" customWidth="1"/>
    <col min="5" max="5" width="16.57421875" style="123" customWidth="1"/>
    <col min="6" max="6" width="17.140625" style="123" customWidth="1"/>
    <col min="7" max="7" width="17.140625" style="388" hidden="1" customWidth="1"/>
    <col min="8" max="8" width="16.7109375" style="123" hidden="1" customWidth="1"/>
    <col min="9" max="9" width="17.8515625" style="123" hidden="1" customWidth="1"/>
    <col min="10" max="16384" width="9.140625" style="123" customWidth="1"/>
  </cols>
  <sheetData>
    <row r="1" spans="1:7" ht="12.75" customHeight="1">
      <c r="A1" s="521" t="s">
        <v>155</v>
      </c>
      <c r="B1" s="521"/>
      <c r="C1" s="521"/>
      <c r="D1" s="521"/>
      <c r="E1" s="521"/>
      <c r="F1" s="521"/>
      <c r="G1" s="387"/>
    </row>
    <row r="2" spans="1:7" ht="12.75" customHeight="1">
      <c r="A2" s="521" t="s">
        <v>112</v>
      </c>
      <c r="B2" s="521"/>
      <c r="C2" s="521"/>
      <c r="D2" s="521"/>
      <c r="E2" s="521"/>
      <c r="F2" s="521"/>
      <c r="G2" s="387"/>
    </row>
    <row r="3" spans="1:7" ht="15.75">
      <c r="A3" s="521" t="s">
        <v>1445</v>
      </c>
      <c r="B3" s="521"/>
      <c r="C3" s="521"/>
      <c r="D3" s="521"/>
      <c r="E3" s="521"/>
      <c r="F3" s="521"/>
      <c r="G3" s="387"/>
    </row>
    <row r="4" ht="15">
      <c r="B4" s="2"/>
    </row>
    <row r="5" spans="1:7" ht="93.75" customHeight="1">
      <c r="A5" s="534" t="s">
        <v>1263</v>
      </c>
      <c r="B5" s="534"/>
      <c r="C5" s="534"/>
      <c r="D5" s="534"/>
      <c r="E5" s="534"/>
      <c r="F5" s="534"/>
      <c r="G5" s="387"/>
    </row>
    <row r="6" spans="1:7" ht="15.75">
      <c r="A6" s="519" t="s">
        <v>1447</v>
      </c>
      <c r="B6" s="519"/>
      <c r="C6" s="519"/>
      <c r="D6" s="519"/>
      <c r="E6" s="519"/>
      <c r="F6" s="519"/>
      <c r="G6" s="387"/>
    </row>
    <row r="7" spans="1:2" ht="12.75">
      <c r="A7" s="4"/>
      <c r="B7" s="163"/>
    </row>
    <row r="8" spans="1:7" ht="37.5" customHeight="1">
      <c r="A8" s="548" t="s">
        <v>158</v>
      </c>
      <c r="B8" s="548" t="s">
        <v>311</v>
      </c>
      <c r="C8" s="548" t="s">
        <v>317</v>
      </c>
      <c r="D8" s="548" t="s">
        <v>1264</v>
      </c>
      <c r="E8" s="548"/>
      <c r="F8" s="548"/>
      <c r="G8" s="387"/>
    </row>
    <row r="9" spans="1:7" ht="30" customHeight="1">
      <c r="A9" s="548"/>
      <c r="B9" s="548"/>
      <c r="C9" s="548"/>
      <c r="D9" s="214" t="s">
        <v>227</v>
      </c>
      <c r="E9" s="214" t="s">
        <v>616</v>
      </c>
      <c r="F9" s="215" t="s">
        <v>228</v>
      </c>
      <c r="G9" s="389" t="s">
        <v>1474</v>
      </c>
    </row>
    <row r="10" spans="1:7" ht="16.5" customHeight="1">
      <c r="A10" s="216">
        <v>1</v>
      </c>
      <c r="B10" s="216">
        <v>2</v>
      </c>
      <c r="C10" s="216">
        <v>3</v>
      </c>
      <c r="D10" s="216">
        <v>4</v>
      </c>
      <c r="E10" s="216">
        <v>4</v>
      </c>
      <c r="F10" s="216">
        <v>5</v>
      </c>
      <c r="G10" s="390">
        <v>5</v>
      </c>
    </row>
    <row r="11" spans="1:9" ht="47.25">
      <c r="A11" s="152" t="s">
        <v>656</v>
      </c>
      <c r="B11" s="23" t="s">
        <v>339</v>
      </c>
      <c r="C11" s="121"/>
      <c r="D11" s="157">
        <f>D12</f>
        <v>-816000</v>
      </c>
      <c r="E11" s="157">
        <f>E12</f>
        <v>0</v>
      </c>
      <c r="F11" s="157">
        <f>F12+F15</f>
        <v>1189309.5</v>
      </c>
      <c r="G11" s="391">
        <f>G12+G15</f>
        <v>998827.09</v>
      </c>
      <c r="I11" s="440">
        <v>1189309.5</v>
      </c>
    </row>
    <row r="12" spans="1:9" ht="30" customHeight="1">
      <c r="A12" s="128" t="s">
        <v>1384</v>
      </c>
      <c r="B12" s="20" t="s">
        <v>340</v>
      </c>
      <c r="C12" s="61"/>
      <c r="D12" s="98">
        <f>SUM(D14:D17)</f>
        <v>-816000</v>
      </c>
      <c r="E12" s="98">
        <f>E13+E15</f>
        <v>0</v>
      </c>
      <c r="F12" s="98">
        <f>F13</f>
        <v>843718.79</v>
      </c>
      <c r="G12" s="392">
        <f>G13</f>
        <v>698827.09</v>
      </c>
      <c r="I12" s="440">
        <v>843718.79</v>
      </c>
    </row>
    <row r="13" spans="1:9" ht="31.5">
      <c r="A13" s="128" t="s">
        <v>921</v>
      </c>
      <c r="B13" s="20" t="s">
        <v>341</v>
      </c>
      <c r="C13" s="61"/>
      <c r="D13" s="98"/>
      <c r="E13" s="98">
        <f>SUM(E14)</f>
        <v>0</v>
      </c>
      <c r="F13" s="98">
        <f>SUM(F14)</f>
        <v>843718.79</v>
      </c>
      <c r="G13" s="392">
        <f>SUM(G14)</f>
        <v>698827.09</v>
      </c>
      <c r="H13" s="185"/>
      <c r="I13" s="440">
        <v>843718.79</v>
      </c>
    </row>
    <row r="14" spans="1:9" ht="63">
      <c r="A14" s="69" t="s">
        <v>588</v>
      </c>
      <c r="B14" s="21" t="s">
        <v>342</v>
      </c>
      <c r="C14" s="62">
        <v>200</v>
      </c>
      <c r="D14" s="92">
        <v>-360000</v>
      </c>
      <c r="E14" s="92"/>
      <c r="F14" s="135">
        <v>843718.79</v>
      </c>
      <c r="G14" s="393">
        <v>698827.09</v>
      </c>
      <c r="H14" s="136"/>
      <c r="I14" s="440">
        <v>843718.79</v>
      </c>
    </row>
    <row r="15" spans="1:9" ht="31.5">
      <c r="A15" s="128" t="s">
        <v>1385</v>
      </c>
      <c r="B15" s="20" t="s">
        <v>1387</v>
      </c>
      <c r="C15" s="61"/>
      <c r="D15" s="92"/>
      <c r="E15" s="122">
        <f>E17</f>
        <v>0</v>
      </c>
      <c r="F15" s="122">
        <f>F17</f>
        <v>345590.71</v>
      </c>
      <c r="G15" s="394">
        <f>G17</f>
        <v>300000</v>
      </c>
      <c r="H15" s="136"/>
      <c r="I15" s="440">
        <v>345590.71</v>
      </c>
    </row>
    <row r="16" spans="1:9" ht="33.75" customHeight="1">
      <c r="A16" s="128" t="s">
        <v>896</v>
      </c>
      <c r="B16" s="20" t="s">
        <v>1386</v>
      </c>
      <c r="C16" s="61"/>
      <c r="D16" s="98"/>
      <c r="E16" s="98">
        <f>SUM(E17)</f>
        <v>0</v>
      </c>
      <c r="F16" s="98">
        <f>SUM(F17)</f>
        <v>345590.71</v>
      </c>
      <c r="G16" s="392">
        <f>SUM(G17)</f>
        <v>300000</v>
      </c>
      <c r="H16" s="136"/>
      <c r="I16" s="440">
        <v>345590.71</v>
      </c>
    </row>
    <row r="17" spans="1:9" ht="61.5" customHeight="1">
      <c r="A17" s="69" t="s">
        <v>589</v>
      </c>
      <c r="B17" s="21" t="s">
        <v>1388</v>
      </c>
      <c r="C17" s="62">
        <v>200</v>
      </c>
      <c r="D17" s="92">
        <v>-456000</v>
      </c>
      <c r="E17" s="92"/>
      <c r="F17" s="135">
        <v>345590.71</v>
      </c>
      <c r="G17" s="393">
        <v>300000</v>
      </c>
      <c r="H17" s="136"/>
      <c r="I17" s="440">
        <v>345590.71</v>
      </c>
    </row>
    <row r="18" spans="1:9" ht="31.5">
      <c r="A18" s="152" t="s">
        <v>883</v>
      </c>
      <c r="B18" s="23" t="s">
        <v>343</v>
      </c>
      <c r="C18" s="217"/>
      <c r="D18" s="157" t="e">
        <f>D19+D25+#REF!+#REF!+#REF!+#REF!</f>
        <v>#REF!</v>
      </c>
      <c r="E18" s="157">
        <f>E19+E25+E46+E49</f>
        <v>0</v>
      </c>
      <c r="F18" s="157">
        <f>F19+F25+F46+F49</f>
        <v>45516228.64999999</v>
      </c>
      <c r="G18" s="391">
        <f>G19+G25+G46+G49</f>
        <v>40670532.309999995</v>
      </c>
      <c r="H18" s="431">
        <f>F18-E18</f>
        <v>45516228.64999999</v>
      </c>
      <c r="I18" s="440">
        <v>44426248.65</v>
      </c>
    </row>
    <row r="19" spans="1:9" ht="31.5">
      <c r="A19" s="153" t="s">
        <v>344</v>
      </c>
      <c r="B19" s="20" t="s">
        <v>345</v>
      </c>
      <c r="C19" s="61"/>
      <c r="D19" s="98">
        <f>SUM(D21:D21)</f>
        <v>-47100</v>
      </c>
      <c r="E19" s="98">
        <f>E20+E22</f>
        <v>0</v>
      </c>
      <c r="F19" s="98">
        <f>F20+F22</f>
        <v>1370453.76</v>
      </c>
      <c r="G19" s="392">
        <f>G20+G22</f>
        <v>1370453.76</v>
      </c>
      <c r="H19" s="431"/>
      <c r="I19" s="440">
        <v>1370453.76</v>
      </c>
    </row>
    <row r="20" spans="1:9" ht="31.5">
      <c r="A20" s="153" t="s">
        <v>346</v>
      </c>
      <c r="B20" s="20" t="s">
        <v>347</v>
      </c>
      <c r="C20" s="61"/>
      <c r="D20" s="98"/>
      <c r="E20" s="98">
        <f>SUM(E21:E21)</f>
        <v>0</v>
      </c>
      <c r="F20" s="98">
        <f>SUM(F21:F21)</f>
        <v>115900</v>
      </c>
      <c r="G20" s="392">
        <f>SUM(G21:G21)</f>
        <v>115900</v>
      </c>
      <c r="H20" s="431"/>
      <c r="I20" s="440">
        <v>115900</v>
      </c>
    </row>
    <row r="21" spans="1:9" ht="96" customHeight="1">
      <c r="A21" s="64" t="s">
        <v>949</v>
      </c>
      <c r="B21" s="21" t="s">
        <v>348</v>
      </c>
      <c r="C21" s="62">
        <v>200</v>
      </c>
      <c r="D21" s="92">
        <v>-47100</v>
      </c>
      <c r="E21" s="92"/>
      <c r="F21" s="135">
        <f>145900-30000</f>
        <v>115900</v>
      </c>
      <c r="G21" s="393">
        <f>145900-30000</f>
        <v>115900</v>
      </c>
      <c r="H21" s="431"/>
      <c r="I21" s="440">
        <v>115900</v>
      </c>
    </row>
    <row r="22" spans="1:9" ht="31.5">
      <c r="A22" s="218" t="s">
        <v>902</v>
      </c>
      <c r="B22" s="120" t="s">
        <v>897</v>
      </c>
      <c r="C22" s="121"/>
      <c r="D22" s="122"/>
      <c r="E22" s="122">
        <f>SUM(E23:E24)</f>
        <v>0</v>
      </c>
      <c r="F22" s="122">
        <f>SUM(F23:F24)</f>
        <v>1254553.76</v>
      </c>
      <c r="G22" s="394">
        <f>SUM(G23:G24)</f>
        <v>1254553.76</v>
      </c>
      <c r="H22" s="431"/>
      <c r="I22" s="440">
        <v>1254553.76</v>
      </c>
    </row>
    <row r="23" spans="1:9" ht="63">
      <c r="A23" s="63" t="s">
        <v>608</v>
      </c>
      <c r="B23" s="21" t="s">
        <v>898</v>
      </c>
      <c r="C23" s="62">
        <v>200</v>
      </c>
      <c r="D23" s="92"/>
      <c r="E23" s="92"/>
      <c r="F23" s="135">
        <v>18540.2</v>
      </c>
      <c r="G23" s="393">
        <v>18540.2</v>
      </c>
      <c r="H23" s="431"/>
      <c r="I23" s="440">
        <v>18540.2</v>
      </c>
    </row>
    <row r="24" spans="1:9" ht="63">
      <c r="A24" s="63" t="s">
        <v>469</v>
      </c>
      <c r="B24" s="21" t="s">
        <v>898</v>
      </c>
      <c r="C24" s="62">
        <v>300</v>
      </c>
      <c r="D24" s="92">
        <v>30000</v>
      </c>
      <c r="E24" s="92"/>
      <c r="F24" s="135">
        <v>1236013.56</v>
      </c>
      <c r="G24" s="393">
        <v>1236013.56</v>
      </c>
      <c r="H24" s="431"/>
      <c r="I24" s="440">
        <v>1236013.56</v>
      </c>
    </row>
    <row r="25" spans="1:9" ht="31.5">
      <c r="A25" s="153" t="s">
        <v>349</v>
      </c>
      <c r="B25" s="20" t="s">
        <v>350</v>
      </c>
      <c r="C25" s="61"/>
      <c r="D25" s="98" t="e">
        <f>SUM(D29:D295)</f>
        <v>#REF!</v>
      </c>
      <c r="E25" s="98">
        <f>E26+E28+E44</f>
        <v>0</v>
      </c>
      <c r="F25" s="98">
        <f>F26+F28+F44</f>
        <v>31607438.55999999</v>
      </c>
      <c r="G25" s="392">
        <f>G26+G28+G44</f>
        <v>31222640.559999995</v>
      </c>
      <c r="H25" s="431">
        <f>F25-E25</f>
        <v>31607438.55999999</v>
      </c>
      <c r="I25" s="440">
        <v>31366738.559999995</v>
      </c>
    </row>
    <row r="26" spans="1:9" ht="47.25">
      <c r="A26" s="153" t="s">
        <v>351</v>
      </c>
      <c r="B26" s="20" t="s">
        <v>352</v>
      </c>
      <c r="C26" s="61"/>
      <c r="D26" s="98"/>
      <c r="E26" s="98">
        <f>E27</f>
        <v>0</v>
      </c>
      <c r="F26" s="98">
        <f>F27</f>
        <v>1298844</v>
      </c>
      <c r="G26" s="392">
        <f>G27</f>
        <v>1298844</v>
      </c>
      <c r="H26" s="431"/>
      <c r="I26" s="440">
        <v>1298844</v>
      </c>
    </row>
    <row r="27" spans="1:9" ht="78.75">
      <c r="A27" s="63" t="s">
        <v>353</v>
      </c>
      <c r="B27" s="21" t="s">
        <v>354</v>
      </c>
      <c r="C27" s="62">
        <v>100</v>
      </c>
      <c r="D27" s="92">
        <v>1001205</v>
      </c>
      <c r="E27" s="92"/>
      <c r="F27" s="135">
        <v>1298844</v>
      </c>
      <c r="G27" s="393">
        <v>1298844</v>
      </c>
      <c r="H27" s="431"/>
      <c r="I27" s="440">
        <v>1298844</v>
      </c>
    </row>
    <row r="28" spans="1:9" ht="78.75">
      <c r="A28" s="219" t="s">
        <v>995</v>
      </c>
      <c r="B28" s="120" t="s">
        <v>355</v>
      </c>
      <c r="C28" s="121"/>
      <c r="D28" s="122"/>
      <c r="E28" s="122">
        <f>SUM(E29:E43)</f>
        <v>0</v>
      </c>
      <c r="F28" s="122">
        <f>SUM(F29:F43)</f>
        <v>29745720.159999993</v>
      </c>
      <c r="G28" s="394">
        <f>SUM(G29:G43)</f>
        <v>29360922.159999996</v>
      </c>
      <c r="H28" s="431">
        <f>F28-E28</f>
        <v>29745720.159999993</v>
      </c>
      <c r="I28" s="440">
        <v>29505020.159999996</v>
      </c>
    </row>
    <row r="29" spans="1:9" ht="81" customHeight="1">
      <c r="A29" s="63" t="s">
        <v>760</v>
      </c>
      <c r="B29" s="21" t="s">
        <v>357</v>
      </c>
      <c r="C29" s="62">
        <v>100</v>
      </c>
      <c r="D29" s="92">
        <v>15078984</v>
      </c>
      <c r="E29" s="92"/>
      <c r="F29" s="135">
        <v>19603598.4</v>
      </c>
      <c r="G29" s="393">
        <v>19682854.39</v>
      </c>
      <c r="I29" s="440">
        <v>19682854.39</v>
      </c>
    </row>
    <row r="30" spans="1:9" ht="47.25">
      <c r="A30" s="63" t="s">
        <v>590</v>
      </c>
      <c r="B30" s="21" t="s">
        <v>357</v>
      </c>
      <c r="C30" s="62">
        <v>200</v>
      </c>
      <c r="D30" s="92">
        <v>5279911</v>
      </c>
      <c r="E30" s="92"/>
      <c r="F30" s="135">
        <v>1685610.65</v>
      </c>
      <c r="G30" s="393">
        <f>1585184.56+21324.95-154.85</f>
        <v>1606354.66</v>
      </c>
      <c r="I30" s="440">
        <v>1606354.66</v>
      </c>
    </row>
    <row r="31" spans="1:9" ht="32.25" customHeight="1">
      <c r="A31" s="63" t="s">
        <v>1019</v>
      </c>
      <c r="B31" s="21" t="s">
        <v>357</v>
      </c>
      <c r="C31" s="62">
        <v>300</v>
      </c>
      <c r="D31" s="92"/>
      <c r="E31" s="92"/>
      <c r="F31" s="135">
        <v>0</v>
      </c>
      <c r="G31" s="393">
        <v>0</v>
      </c>
      <c r="I31" s="440">
        <v>0</v>
      </c>
    </row>
    <row r="32" spans="1:9" ht="31.5">
      <c r="A32" s="63" t="s">
        <v>356</v>
      </c>
      <c r="B32" s="21" t="s">
        <v>357</v>
      </c>
      <c r="C32" s="62">
        <v>800</v>
      </c>
      <c r="D32" s="92">
        <v>257000</v>
      </c>
      <c r="E32" s="92"/>
      <c r="F32" s="135">
        <v>58000</v>
      </c>
      <c r="G32" s="393">
        <v>58000</v>
      </c>
      <c r="I32" s="440">
        <v>58000</v>
      </c>
    </row>
    <row r="33" spans="1:9" ht="82.5" customHeight="1">
      <c r="A33" s="63" t="s">
        <v>975</v>
      </c>
      <c r="B33" s="21" t="s">
        <v>559</v>
      </c>
      <c r="C33" s="62">
        <v>100</v>
      </c>
      <c r="D33" s="92"/>
      <c r="E33" s="92"/>
      <c r="F33" s="135">
        <v>489343.68</v>
      </c>
      <c r="G33" s="393">
        <v>489343.68</v>
      </c>
      <c r="I33" s="440">
        <v>489343.68</v>
      </c>
    </row>
    <row r="34" spans="1:9" ht="78.75">
      <c r="A34" s="63" t="s">
        <v>358</v>
      </c>
      <c r="B34" s="21" t="s">
        <v>359</v>
      </c>
      <c r="C34" s="62">
        <v>100</v>
      </c>
      <c r="D34" s="92">
        <v>644418</v>
      </c>
      <c r="E34" s="92"/>
      <c r="F34" s="135">
        <v>237904.56</v>
      </c>
      <c r="G34" s="393">
        <v>237904.56</v>
      </c>
      <c r="I34" s="440">
        <v>237904.56</v>
      </c>
    </row>
    <row r="35" spans="1:9" ht="47.25">
      <c r="A35" s="63" t="s">
        <v>591</v>
      </c>
      <c r="B35" s="21" t="s">
        <v>359</v>
      </c>
      <c r="C35" s="62">
        <v>200</v>
      </c>
      <c r="D35" s="92">
        <v>422600</v>
      </c>
      <c r="E35" s="92"/>
      <c r="F35" s="135">
        <v>820479</v>
      </c>
      <c r="G35" s="393">
        <v>520479</v>
      </c>
      <c r="I35" s="440">
        <v>570479</v>
      </c>
    </row>
    <row r="36" spans="1:9" ht="31.5">
      <c r="A36" s="63" t="s">
        <v>939</v>
      </c>
      <c r="B36" s="21" t="s">
        <v>359</v>
      </c>
      <c r="C36" s="62">
        <v>300</v>
      </c>
      <c r="D36" s="92"/>
      <c r="E36" s="92"/>
      <c r="F36" s="135">
        <v>18130</v>
      </c>
      <c r="G36" s="393">
        <v>18130</v>
      </c>
      <c r="I36" s="440">
        <v>18130</v>
      </c>
    </row>
    <row r="37" spans="1:9" ht="79.5" customHeight="1">
      <c r="A37" s="63" t="s">
        <v>546</v>
      </c>
      <c r="B37" s="21" t="s">
        <v>361</v>
      </c>
      <c r="C37" s="62">
        <v>100</v>
      </c>
      <c r="D37" s="92">
        <v>3118930</v>
      </c>
      <c r="E37" s="92"/>
      <c r="F37" s="135">
        <v>4280731.61</v>
      </c>
      <c r="G37" s="393">
        <v>4278731.61</v>
      </c>
      <c r="H37" s="135">
        <v>4278731.61</v>
      </c>
      <c r="I37" s="440">
        <v>4280731.61</v>
      </c>
    </row>
    <row r="38" spans="1:9" ht="47.25">
      <c r="A38" s="63" t="s">
        <v>592</v>
      </c>
      <c r="B38" s="21" t="s">
        <v>361</v>
      </c>
      <c r="C38" s="62">
        <v>200</v>
      </c>
      <c r="D38" s="92">
        <v>266570</v>
      </c>
      <c r="E38" s="92"/>
      <c r="F38" s="135">
        <v>856248.65</v>
      </c>
      <c r="G38" s="393">
        <v>773450.65</v>
      </c>
      <c r="H38" s="135">
        <v>773450.65</v>
      </c>
      <c r="I38" s="440">
        <v>865548.65</v>
      </c>
    </row>
    <row r="39" spans="1:9" ht="36.75" customHeight="1">
      <c r="A39" s="63" t="s">
        <v>360</v>
      </c>
      <c r="B39" s="133" t="s">
        <v>361</v>
      </c>
      <c r="C39" s="134">
        <v>800</v>
      </c>
      <c r="D39" s="92"/>
      <c r="E39" s="92"/>
      <c r="F39" s="135"/>
      <c r="G39" s="393"/>
      <c r="H39" s="185"/>
      <c r="I39" s="440"/>
    </row>
    <row r="40" spans="1:9" ht="82.5" customHeight="1">
      <c r="A40" s="63" t="s">
        <v>566</v>
      </c>
      <c r="B40" s="21" t="s">
        <v>363</v>
      </c>
      <c r="C40" s="62">
        <v>100</v>
      </c>
      <c r="D40" s="92">
        <v>1400000</v>
      </c>
      <c r="E40" s="92"/>
      <c r="F40" s="92">
        <v>1150297.21</v>
      </c>
      <c r="G40" s="395">
        <v>1150297.21</v>
      </c>
      <c r="I40" s="440">
        <v>1150297.21</v>
      </c>
    </row>
    <row r="41" spans="1:9" ht="47.25">
      <c r="A41" s="63" t="s">
        <v>593</v>
      </c>
      <c r="B41" s="21" t="s">
        <v>363</v>
      </c>
      <c r="C41" s="62">
        <v>200</v>
      </c>
      <c r="D41" s="92"/>
      <c r="E41" s="92"/>
      <c r="F41" s="92">
        <v>239576.4</v>
      </c>
      <c r="G41" s="395">
        <v>239576.4</v>
      </c>
      <c r="I41" s="440">
        <v>239576.4</v>
      </c>
    </row>
    <row r="42" spans="1:9" ht="49.5" customHeight="1">
      <c r="A42" s="221" t="s">
        <v>618</v>
      </c>
      <c r="B42" s="21" t="s">
        <v>1338</v>
      </c>
      <c r="C42" s="62">
        <v>300</v>
      </c>
      <c r="D42" s="92"/>
      <c r="E42" s="92"/>
      <c r="F42" s="135">
        <v>9000</v>
      </c>
      <c r="G42" s="393">
        <v>9000</v>
      </c>
      <c r="I42" s="440">
        <v>9000</v>
      </c>
    </row>
    <row r="43" spans="1:9" ht="47.25" customHeight="1">
      <c r="A43" s="63" t="s">
        <v>595</v>
      </c>
      <c r="B43" s="21" t="s">
        <v>365</v>
      </c>
      <c r="C43" s="62">
        <v>200</v>
      </c>
      <c r="D43" s="92">
        <v>302040</v>
      </c>
      <c r="E43" s="92"/>
      <c r="F43" s="135">
        <v>296800</v>
      </c>
      <c r="G43" s="393">
        <v>296800</v>
      </c>
      <c r="I43" s="440">
        <v>296800</v>
      </c>
    </row>
    <row r="44" spans="1:9" ht="15.75">
      <c r="A44" s="219" t="s">
        <v>366</v>
      </c>
      <c r="B44" s="120" t="s">
        <v>367</v>
      </c>
      <c r="C44" s="121"/>
      <c r="D44" s="122"/>
      <c r="E44" s="122">
        <f>E45</f>
        <v>0</v>
      </c>
      <c r="F44" s="122">
        <f>F45</f>
        <v>562874.4</v>
      </c>
      <c r="G44" s="394">
        <f>G45</f>
        <v>562874.4</v>
      </c>
      <c r="I44" s="440">
        <v>562874.4</v>
      </c>
    </row>
    <row r="45" spans="1:9" ht="63">
      <c r="A45" s="63" t="s">
        <v>596</v>
      </c>
      <c r="B45" s="21" t="s">
        <v>368</v>
      </c>
      <c r="C45" s="62">
        <v>200</v>
      </c>
      <c r="D45" s="92">
        <v>400000</v>
      </c>
      <c r="E45" s="92"/>
      <c r="F45" s="135">
        <v>562874.4</v>
      </c>
      <c r="G45" s="393">
        <v>562874.4</v>
      </c>
      <c r="I45" s="440">
        <v>562874.4</v>
      </c>
    </row>
    <row r="46" spans="1:9" ht="31.5">
      <c r="A46" s="219" t="s">
        <v>369</v>
      </c>
      <c r="B46" s="120" t="s">
        <v>371</v>
      </c>
      <c r="C46" s="121"/>
      <c r="D46" s="122"/>
      <c r="E46" s="122">
        <f aca="true" t="shared" si="0" ref="E46:G47">E47</f>
        <v>0</v>
      </c>
      <c r="F46" s="122">
        <f t="shared" si="0"/>
        <v>292970.57</v>
      </c>
      <c r="G46" s="394">
        <f t="shared" si="0"/>
        <v>292660.23</v>
      </c>
      <c r="H46" s="185">
        <f>F46-E46</f>
        <v>292970.57</v>
      </c>
      <c r="I46" s="440">
        <v>292970.57</v>
      </c>
    </row>
    <row r="47" spans="1:9" ht="47.25" customHeight="1">
      <c r="A47" s="219" t="s">
        <v>370</v>
      </c>
      <c r="B47" s="120" t="s">
        <v>372</v>
      </c>
      <c r="C47" s="121"/>
      <c r="D47" s="122"/>
      <c r="E47" s="122">
        <f t="shared" si="0"/>
        <v>0</v>
      </c>
      <c r="F47" s="122">
        <f t="shared" si="0"/>
        <v>292970.57</v>
      </c>
      <c r="G47" s="394">
        <f t="shared" si="0"/>
        <v>292660.23</v>
      </c>
      <c r="H47" s="185">
        <f>F47-E47</f>
        <v>292970.57</v>
      </c>
      <c r="I47" s="440">
        <v>292970.57</v>
      </c>
    </row>
    <row r="48" spans="1:9" ht="81" customHeight="1">
      <c r="A48" s="63" t="s">
        <v>999</v>
      </c>
      <c r="B48" s="21" t="s">
        <v>373</v>
      </c>
      <c r="C48" s="62">
        <v>200</v>
      </c>
      <c r="D48" s="92"/>
      <c r="E48" s="92"/>
      <c r="F48" s="135">
        <v>292970.57</v>
      </c>
      <c r="G48" s="393">
        <v>292660.23</v>
      </c>
      <c r="H48" s="135">
        <v>292660.23</v>
      </c>
      <c r="I48" s="440">
        <v>292970.57</v>
      </c>
    </row>
    <row r="49" spans="1:9" ht="31.5">
      <c r="A49" s="219" t="s">
        <v>940</v>
      </c>
      <c r="B49" s="120" t="s">
        <v>899</v>
      </c>
      <c r="C49" s="121"/>
      <c r="D49" s="92"/>
      <c r="E49" s="122">
        <f>E50</f>
        <v>0</v>
      </c>
      <c r="F49" s="122">
        <f>F50</f>
        <v>12245365.76</v>
      </c>
      <c r="G49" s="394">
        <f>G50</f>
        <v>7784777.76</v>
      </c>
      <c r="H49" s="185">
        <f>F49-E49</f>
        <v>12245365.76</v>
      </c>
      <c r="I49" s="440">
        <v>11396085.76</v>
      </c>
    </row>
    <row r="50" spans="1:9" ht="31.5">
      <c r="A50" s="219" t="s">
        <v>1014</v>
      </c>
      <c r="B50" s="120" t="s">
        <v>900</v>
      </c>
      <c r="C50" s="121"/>
      <c r="D50" s="92"/>
      <c r="E50" s="122">
        <f>SUM(E51:E53)</f>
        <v>0</v>
      </c>
      <c r="F50" s="122">
        <f>SUM(F51:F53)</f>
        <v>12245365.76</v>
      </c>
      <c r="G50" s="394">
        <f>SUM(G51:G53)</f>
        <v>7784777.76</v>
      </c>
      <c r="H50" s="185">
        <f>F50-E50</f>
        <v>12245365.76</v>
      </c>
      <c r="I50" s="440">
        <v>11396085.76</v>
      </c>
    </row>
    <row r="51" spans="1:9" ht="78.75">
      <c r="A51" s="124" t="s">
        <v>966</v>
      </c>
      <c r="B51" s="22" t="s">
        <v>901</v>
      </c>
      <c r="C51" s="96">
        <v>100</v>
      </c>
      <c r="D51" s="97"/>
      <c r="E51" s="97"/>
      <c r="F51" s="135">
        <v>3756619</v>
      </c>
      <c r="G51" s="393">
        <v>3756619</v>
      </c>
      <c r="H51" s="442"/>
      <c r="I51" s="440">
        <v>3756619</v>
      </c>
    </row>
    <row r="52" spans="1:9" ht="47.25">
      <c r="A52" s="124" t="s">
        <v>964</v>
      </c>
      <c r="B52" s="22" t="s">
        <v>901</v>
      </c>
      <c r="C52" s="62">
        <v>200</v>
      </c>
      <c r="D52" s="92"/>
      <c r="E52" s="92"/>
      <c r="F52" s="135">
        <v>8355746.76</v>
      </c>
      <c r="G52" s="393">
        <v>3895158.76</v>
      </c>
      <c r="H52" s="440">
        <v>3895158.76</v>
      </c>
      <c r="I52" s="440">
        <v>7506466.76</v>
      </c>
    </row>
    <row r="53" spans="1:9" ht="31.5">
      <c r="A53" s="124" t="s">
        <v>965</v>
      </c>
      <c r="B53" s="22" t="s">
        <v>901</v>
      </c>
      <c r="C53" s="62">
        <v>800</v>
      </c>
      <c r="D53" s="92"/>
      <c r="E53" s="92"/>
      <c r="F53" s="135">
        <v>133000</v>
      </c>
      <c r="G53" s="393">
        <v>133000</v>
      </c>
      <c r="I53" s="440">
        <v>133000</v>
      </c>
    </row>
    <row r="54" spans="1:9" ht="31.5">
      <c r="A54" s="506" t="s">
        <v>657</v>
      </c>
      <c r="B54" s="23" t="s">
        <v>376</v>
      </c>
      <c r="C54" s="217"/>
      <c r="D54" s="157">
        <f>D55</f>
        <v>-1714607.6</v>
      </c>
      <c r="E54" s="157">
        <f>E55+E66+E69</f>
        <v>0</v>
      </c>
      <c r="F54" s="157">
        <f>F55+F66+F69</f>
        <v>20964266.91</v>
      </c>
      <c r="G54" s="391">
        <f>G55+G66+G69</f>
        <v>9159637.8</v>
      </c>
      <c r="I54" s="440">
        <v>17058919.47</v>
      </c>
    </row>
    <row r="55" spans="1:9" ht="34.5" customHeight="1">
      <c r="A55" s="218" t="s">
        <v>904</v>
      </c>
      <c r="B55" s="20" t="s">
        <v>377</v>
      </c>
      <c r="C55" s="61"/>
      <c r="D55" s="98">
        <f>SUM(D57:D63)</f>
        <v>-1714607.6</v>
      </c>
      <c r="E55" s="98">
        <f>E56</f>
        <v>0</v>
      </c>
      <c r="F55" s="98">
        <f>F56</f>
        <v>20894266.91</v>
      </c>
      <c r="G55" s="392">
        <f>G56</f>
        <v>9089637.8</v>
      </c>
      <c r="I55" s="440">
        <v>16988919.47</v>
      </c>
    </row>
    <row r="56" spans="1:9" ht="31.5">
      <c r="A56" s="218" t="s">
        <v>903</v>
      </c>
      <c r="B56" s="20" t="s">
        <v>378</v>
      </c>
      <c r="C56" s="61"/>
      <c r="D56" s="98"/>
      <c r="E56" s="98">
        <f>SUM(E57:E65)</f>
        <v>0</v>
      </c>
      <c r="F56" s="98">
        <f>SUM(F57:F65)</f>
        <v>20894266.91</v>
      </c>
      <c r="G56" s="392">
        <f>SUM(G57:G65)</f>
        <v>9089637.8</v>
      </c>
      <c r="I56" s="440">
        <v>16988919.47</v>
      </c>
    </row>
    <row r="57" spans="1:9" ht="47.25">
      <c r="A57" s="220" t="s">
        <v>905</v>
      </c>
      <c r="B57" s="21" t="s">
        <v>379</v>
      </c>
      <c r="C57" s="62">
        <v>200</v>
      </c>
      <c r="D57" s="92">
        <v>-1714607.6</v>
      </c>
      <c r="E57" s="92"/>
      <c r="F57" s="135">
        <f>3105606.06-941354.1</f>
        <v>2164251.96</v>
      </c>
      <c r="G57" s="393">
        <f>3105606.06-941354.1</f>
        <v>2164251.96</v>
      </c>
      <c r="I57" s="440">
        <v>2164251.96</v>
      </c>
    </row>
    <row r="58" spans="1:9" ht="81.75" customHeight="1">
      <c r="A58" s="220" t="s">
        <v>1225</v>
      </c>
      <c r="B58" s="21" t="s">
        <v>1224</v>
      </c>
      <c r="C58" s="62">
        <v>200</v>
      </c>
      <c r="D58" s="92"/>
      <c r="E58" s="92"/>
      <c r="F58" s="135">
        <v>0</v>
      </c>
      <c r="G58" s="393">
        <v>0</v>
      </c>
      <c r="I58" s="440">
        <v>0</v>
      </c>
    </row>
    <row r="59" spans="1:9" ht="47.25">
      <c r="A59" s="220" t="s">
        <v>906</v>
      </c>
      <c r="B59" s="21" t="s">
        <v>941</v>
      </c>
      <c r="C59" s="62">
        <v>200</v>
      </c>
      <c r="D59" s="92"/>
      <c r="E59" s="162"/>
      <c r="F59" s="135">
        <v>4286064.53</v>
      </c>
      <c r="G59" s="393">
        <v>4494799.24</v>
      </c>
      <c r="I59" s="440">
        <v>4494799.24</v>
      </c>
    </row>
    <row r="60" spans="1:9" ht="47.25">
      <c r="A60" s="220" t="s">
        <v>1244</v>
      </c>
      <c r="B60" s="21" t="s">
        <v>941</v>
      </c>
      <c r="C60" s="62">
        <v>400</v>
      </c>
      <c r="D60" s="92"/>
      <c r="E60" s="162"/>
      <c r="F60" s="135">
        <v>0</v>
      </c>
      <c r="G60" s="393">
        <v>349232.5</v>
      </c>
      <c r="I60" s="440">
        <v>349232.5</v>
      </c>
    </row>
    <row r="61" spans="1:9" ht="31.5">
      <c r="A61" s="220" t="s">
        <v>922</v>
      </c>
      <c r="B61" s="21" t="s">
        <v>942</v>
      </c>
      <c r="C61" s="62">
        <v>200</v>
      </c>
      <c r="D61" s="92"/>
      <c r="E61" s="92"/>
      <c r="F61" s="135">
        <v>0</v>
      </c>
      <c r="G61" s="393">
        <v>0</v>
      </c>
      <c r="I61" s="440">
        <v>0</v>
      </c>
    </row>
    <row r="62" spans="1:9" ht="47.25">
      <c r="A62" s="220" t="s">
        <v>989</v>
      </c>
      <c r="B62" s="21" t="s">
        <v>943</v>
      </c>
      <c r="C62" s="62">
        <v>200</v>
      </c>
      <c r="D62" s="92"/>
      <c r="E62" s="92"/>
      <c r="F62" s="135">
        <v>140000</v>
      </c>
      <c r="G62" s="393">
        <v>140000</v>
      </c>
      <c r="I62" s="440">
        <v>140000</v>
      </c>
    </row>
    <row r="63" spans="1:9" ht="208.5" customHeight="1">
      <c r="A63" s="220" t="s">
        <v>753</v>
      </c>
      <c r="B63" s="21" t="s">
        <v>751</v>
      </c>
      <c r="C63" s="62">
        <v>500</v>
      </c>
      <c r="D63" s="92"/>
      <c r="E63" s="246"/>
      <c r="F63" s="135">
        <v>1965201.04</v>
      </c>
      <c r="G63" s="393">
        <f>1000000+941354.1</f>
        <v>1941354.1</v>
      </c>
      <c r="I63" s="440">
        <v>1941354.1</v>
      </c>
    </row>
    <row r="64" spans="1:9" ht="67.5" customHeight="1">
      <c r="A64" s="221" t="s">
        <v>1586</v>
      </c>
      <c r="B64" s="21" t="s">
        <v>1587</v>
      </c>
      <c r="C64" s="62">
        <v>200</v>
      </c>
      <c r="D64" s="92"/>
      <c r="E64" s="246"/>
      <c r="F64" s="246">
        <v>3258250.03</v>
      </c>
      <c r="G64" s="393"/>
      <c r="I64" s="440"/>
    </row>
    <row r="65" spans="1:9" ht="100.5" customHeight="1">
      <c r="A65" s="220" t="s">
        <v>1563</v>
      </c>
      <c r="B65" s="21" t="s">
        <v>1020</v>
      </c>
      <c r="C65" s="62">
        <v>200</v>
      </c>
      <c r="D65" s="92"/>
      <c r="E65" s="92"/>
      <c r="F65" s="92">
        <v>9080499.35</v>
      </c>
      <c r="G65" s="395"/>
      <c r="I65" s="220">
        <v>7899281.67</v>
      </c>
    </row>
    <row r="66" spans="1:9" ht="31.5">
      <c r="A66" s="218" t="s">
        <v>1436</v>
      </c>
      <c r="B66" s="120" t="s">
        <v>630</v>
      </c>
      <c r="C66" s="121"/>
      <c r="D66" s="122"/>
      <c r="E66" s="122">
        <f aca="true" t="shared" si="1" ref="E66:G67">E67</f>
        <v>0</v>
      </c>
      <c r="F66" s="122">
        <f t="shared" si="1"/>
        <v>58151.29</v>
      </c>
      <c r="G66" s="394">
        <f t="shared" si="1"/>
        <v>50000</v>
      </c>
      <c r="I66" s="440">
        <v>58151.29</v>
      </c>
    </row>
    <row r="67" spans="1:9" ht="31.5">
      <c r="A67" s="218" t="s">
        <v>629</v>
      </c>
      <c r="B67" s="120" t="s">
        <v>631</v>
      </c>
      <c r="C67" s="121"/>
      <c r="D67" s="122"/>
      <c r="E67" s="122">
        <f t="shared" si="1"/>
        <v>0</v>
      </c>
      <c r="F67" s="122">
        <f t="shared" si="1"/>
        <v>58151.29</v>
      </c>
      <c r="G67" s="394">
        <f t="shared" si="1"/>
        <v>50000</v>
      </c>
      <c r="I67" s="440">
        <v>58151.29</v>
      </c>
    </row>
    <row r="68" spans="1:9" ht="31.5">
      <c r="A68" s="220" t="s">
        <v>907</v>
      </c>
      <c r="B68" s="21" t="s">
        <v>632</v>
      </c>
      <c r="C68" s="62">
        <v>200</v>
      </c>
      <c r="D68" s="92"/>
      <c r="E68" s="92"/>
      <c r="F68" s="135">
        <v>58151.29</v>
      </c>
      <c r="G68" s="393">
        <v>50000</v>
      </c>
      <c r="I68" s="440">
        <v>58151.29</v>
      </c>
    </row>
    <row r="69" spans="1:9" ht="47.25">
      <c r="A69" s="128" t="s">
        <v>1138</v>
      </c>
      <c r="B69" s="20" t="s">
        <v>1347</v>
      </c>
      <c r="C69" s="121"/>
      <c r="D69" s="122"/>
      <c r="E69" s="122">
        <f>E70</f>
        <v>0</v>
      </c>
      <c r="F69" s="122">
        <f>F70</f>
        <v>11848.71</v>
      </c>
      <c r="G69" s="394">
        <f>G70</f>
        <v>20000</v>
      </c>
      <c r="I69" s="440">
        <v>11848.71</v>
      </c>
    </row>
    <row r="70" spans="1:9" ht="51" customHeight="1">
      <c r="A70" s="128" t="s">
        <v>1133</v>
      </c>
      <c r="B70" s="20" t="s">
        <v>1348</v>
      </c>
      <c r="C70" s="121"/>
      <c r="D70" s="122"/>
      <c r="E70" s="122">
        <f>SUM(E71:E72)</f>
        <v>0</v>
      </c>
      <c r="F70" s="122">
        <f>SUM(F71:F72)</f>
        <v>11848.71</v>
      </c>
      <c r="G70" s="394">
        <f>SUM(G71:G72)</f>
        <v>20000</v>
      </c>
      <c r="I70" s="440">
        <v>11848.71</v>
      </c>
    </row>
    <row r="71" spans="1:9" ht="63">
      <c r="A71" s="154" t="s">
        <v>1134</v>
      </c>
      <c r="B71" s="22" t="s">
        <v>1349</v>
      </c>
      <c r="C71" s="96">
        <v>200</v>
      </c>
      <c r="D71" s="97"/>
      <c r="E71" s="97"/>
      <c r="F71" s="97">
        <v>0</v>
      </c>
      <c r="G71" s="396">
        <v>0</v>
      </c>
      <c r="I71" s="440">
        <v>0</v>
      </c>
    </row>
    <row r="72" spans="1:9" ht="81.75" customHeight="1">
      <c r="A72" s="154" t="s">
        <v>1135</v>
      </c>
      <c r="B72" s="22" t="s">
        <v>1350</v>
      </c>
      <c r="C72" s="96">
        <v>200</v>
      </c>
      <c r="D72" s="97"/>
      <c r="E72" s="97"/>
      <c r="F72" s="135">
        <v>11848.71</v>
      </c>
      <c r="G72" s="393">
        <v>20000</v>
      </c>
      <c r="I72" s="440">
        <v>11848.71</v>
      </c>
    </row>
    <row r="73" spans="1:9" ht="31.5">
      <c r="A73" s="152" t="s">
        <v>658</v>
      </c>
      <c r="B73" s="23" t="s">
        <v>380</v>
      </c>
      <c r="C73" s="217"/>
      <c r="D73" s="157">
        <f>D74</f>
        <v>0</v>
      </c>
      <c r="E73" s="157">
        <f>E74</f>
        <v>0</v>
      </c>
      <c r="F73" s="157">
        <f>F74+F82</f>
        <v>458000</v>
      </c>
      <c r="G73" s="391">
        <f>G74+G82</f>
        <v>458000</v>
      </c>
      <c r="I73" s="440">
        <v>458000</v>
      </c>
    </row>
    <row r="74" spans="1:9" ht="31.5">
      <c r="A74" s="153" t="s">
        <v>381</v>
      </c>
      <c r="B74" s="20" t="s">
        <v>382</v>
      </c>
      <c r="C74" s="61"/>
      <c r="D74" s="98">
        <f>SUM(D76:D78)</f>
        <v>0</v>
      </c>
      <c r="E74" s="98">
        <f>E75+E79</f>
        <v>0</v>
      </c>
      <c r="F74" s="98">
        <f>F75+F79</f>
        <v>458000</v>
      </c>
      <c r="G74" s="392">
        <f>G75+G79</f>
        <v>458000</v>
      </c>
      <c r="I74" s="440">
        <v>458000</v>
      </c>
    </row>
    <row r="75" spans="1:9" ht="31.5">
      <c r="A75" s="153" t="s">
        <v>383</v>
      </c>
      <c r="B75" s="20" t="s">
        <v>384</v>
      </c>
      <c r="C75" s="61"/>
      <c r="D75" s="98"/>
      <c r="E75" s="98">
        <f>SUM(E76:E78)</f>
        <v>0</v>
      </c>
      <c r="F75" s="98">
        <f>SUM(F76:F78)</f>
        <v>29000</v>
      </c>
      <c r="G75" s="392">
        <f>SUM(G76:G78)</f>
        <v>30000</v>
      </c>
      <c r="I75" s="440">
        <v>30000</v>
      </c>
    </row>
    <row r="76" spans="1:9" ht="33.75" customHeight="1">
      <c r="A76" s="63" t="s">
        <v>612</v>
      </c>
      <c r="B76" s="21" t="s">
        <v>385</v>
      </c>
      <c r="C76" s="62">
        <v>200</v>
      </c>
      <c r="D76" s="92"/>
      <c r="E76" s="92"/>
      <c r="F76" s="135">
        <v>10000</v>
      </c>
      <c r="G76" s="393">
        <v>10000</v>
      </c>
      <c r="I76" s="440">
        <v>10000</v>
      </c>
    </row>
    <row r="77" spans="1:9" ht="47.25">
      <c r="A77" s="63" t="s">
        <v>1391</v>
      </c>
      <c r="B77" s="21" t="s">
        <v>386</v>
      </c>
      <c r="C77" s="62">
        <v>200</v>
      </c>
      <c r="D77" s="92"/>
      <c r="E77" s="92"/>
      <c r="F77" s="135">
        <v>19000</v>
      </c>
      <c r="G77" s="393">
        <v>20000</v>
      </c>
      <c r="I77" s="440">
        <v>20000</v>
      </c>
    </row>
    <row r="78" spans="1:9" ht="47.25">
      <c r="A78" s="63" t="s">
        <v>600</v>
      </c>
      <c r="B78" s="21" t="s">
        <v>387</v>
      </c>
      <c r="C78" s="62">
        <v>200</v>
      </c>
      <c r="D78" s="92"/>
      <c r="E78" s="92"/>
      <c r="F78" s="92">
        <v>0</v>
      </c>
      <c r="G78" s="395">
        <v>0</v>
      </c>
      <c r="I78" s="440">
        <v>0</v>
      </c>
    </row>
    <row r="79" spans="1:9" ht="31.5">
      <c r="A79" s="153" t="s">
        <v>925</v>
      </c>
      <c r="B79" s="120" t="s">
        <v>923</v>
      </c>
      <c r="C79" s="121"/>
      <c r="D79" s="122"/>
      <c r="E79" s="122">
        <f>SUM(E80:E81)</f>
        <v>0</v>
      </c>
      <c r="F79" s="122">
        <f>SUM(F80:F85)</f>
        <v>429000</v>
      </c>
      <c r="G79" s="394">
        <f>SUM(G80:G85)</f>
        <v>428000</v>
      </c>
      <c r="I79" s="440">
        <v>428000</v>
      </c>
    </row>
    <row r="80" spans="1:9" ht="47.25">
      <c r="A80" s="63" t="s">
        <v>627</v>
      </c>
      <c r="B80" s="21" t="s">
        <v>924</v>
      </c>
      <c r="C80" s="62">
        <v>800</v>
      </c>
      <c r="D80" s="92"/>
      <c r="E80" s="92"/>
      <c r="F80" s="135">
        <v>258000</v>
      </c>
      <c r="G80" s="393">
        <v>258000</v>
      </c>
      <c r="I80" s="440">
        <v>258000</v>
      </c>
    </row>
    <row r="81" spans="1:9" ht="117.75" customHeight="1">
      <c r="A81" s="63" t="s">
        <v>1392</v>
      </c>
      <c r="B81" s="21" t="s">
        <v>944</v>
      </c>
      <c r="C81" s="62">
        <v>800</v>
      </c>
      <c r="D81" s="92"/>
      <c r="E81" s="92"/>
      <c r="F81" s="135">
        <v>171000</v>
      </c>
      <c r="G81" s="393">
        <v>170000</v>
      </c>
      <c r="I81" s="440">
        <v>170000</v>
      </c>
    </row>
    <row r="82" spans="1:9" ht="31.5">
      <c r="A82" s="153" t="s">
        <v>1383</v>
      </c>
      <c r="B82" s="120" t="s">
        <v>1381</v>
      </c>
      <c r="C82" s="121"/>
      <c r="D82" s="122"/>
      <c r="E82" s="122">
        <f>E83</f>
        <v>0</v>
      </c>
      <c r="F82" s="122">
        <f>F83</f>
        <v>0</v>
      </c>
      <c r="G82" s="394">
        <f>G83</f>
        <v>0</v>
      </c>
      <c r="I82" s="440">
        <v>0</v>
      </c>
    </row>
    <row r="83" spans="1:9" ht="33.75" customHeight="1">
      <c r="A83" s="219" t="s">
        <v>1248</v>
      </c>
      <c r="B83" s="120" t="s">
        <v>1382</v>
      </c>
      <c r="C83" s="121"/>
      <c r="D83" s="122"/>
      <c r="E83" s="122">
        <f>E84+E85</f>
        <v>0</v>
      </c>
      <c r="F83" s="122">
        <f>F84+F85</f>
        <v>0</v>
      </c>
      <c r="G83" s="394">
        <f>G84+G85</f>
        <v>0</v>
      </c>
      <c r="I83" s="440">
        <v>0</v>
      </c>
    </row>
    <row r="84" spans="1:9" ht="66.75" customHeight="1">
      <c r="A84" s="63" t="s">
        <v>1250</v>
      </c>
      <c r="B84" s="21" t="s">
        <v>1389</v>
      </c>
      <c r="C84" s="62">
        <v>200</v>
      </c>
      <c r="D84" s="92"/>
      <c r="E84" s="92"/>
      <c r="F84" s="92">
        <v>0</v>
      </c>
      <c r="G84" s="395">
        <v>0</v>
      </c>
      <c r="I84" s="440">
        <v>0</v>
      </c>
    </row>
    <row r="85" spans="1:9" ht="80.25" customHeight="1">
      <c r="A85" s="63" t="s">
        <v>1251</v>
      </c>
      <c r="B85" s="21" t="s">
        <v>1390</v>
      </c>
      <c r="C85" s="62">
        <v>200</v>
      </c>
      <c r="D85" s="92"/>
      <c r="E85" s="92"/>
      <c r="F85" s="92">
        <v>0</v>
      </c>
      <c r="G85" s="395">
        <v>0</v>
      </c>
      <c r="I85" s="440">
        <v>0</v>
      </c>
    </row>
    <row r="86" spans="1:9" ht="31.5">
      <c r="A86" s="213" t="s">
        <v>885</v>
      </c>
      <c r="B86" s="23" t="s">
        <v>388</v>
      </c>
      <c r="C86" s="217"/>
      <c r="D86" s="157" t="e">
        <f>D87+#REF!+#REF!</f>
        <v>#REF!</v>
      </c>
      <c r="E86" s="157">
        <f>E87</f>
        <v>0</v>
      </c>
      <c r="F86" s="157">
        <f>F87</f>
        <v>84800</v>
      </c>
      <c r="G86" s="391">
        <f>G87</f>
        <v>66000</v>
      </c>
      <c r="I86" s="440">
        <v>69500</v>
      </c>
    </row>
    <row r="87" spans="1:9" ht="31.5">
      <c r="A87" s="128" t="s">
        <v>889</v>
      </c>
      <c r="B87" s="20" t="s">
        <v>389</v>
      </c>
      <c r="C87" s="61"/>
      <c r="D87" s="98">
        <f>D101</f>
        <v>0</v>
      </c>
      <c r="E87" s="98">
        <f>E88+E94+E100+E105</f>
        <v>0</v>
      </c>
      <c r="F87" s="98">
        <f>F88+F94+F100+F105</f>
        <v>84800</v>
      </c>
      <c r="G87" s="392">
        <f>G88+G94+G100</f>
        <v>66000</v>
      </c>
      <c r="I87" s="440">
        <v>69500</v>
      </c>
    </row>
    <row r="88" spans="1:9" ht="31.5">
      <c r="A88" s="128" t="s">
        <v>932</v>
      </c>
      <c r="B88" s="20" t="s">
        <v>390</v>
      </c>
      <c r="C88" s="61"/>
      <c r="D88" s="98"/>
      <c r="E88" s="98">
        <f>SUM(E89:E93)</f>
        <v>0</v>
      </c>
      <c r="F88" s="98">
        <f>SUM(F89:F93)</f>
        <v>10800</v>
      </c>
      <c r="G88" s="392">
        <f>SUM(G89:G93)</f>
        <v>11500</v>
      </c>
      <c r="I88" s="440">
        <v>11500</v>
      </c>
    </row>
    <row r="89" spans="1:9" ht="69.75" customHeight="1">
      <c r="A89" s="69" t="s">
        <v>888</v>
      </c>
      <c r="B89" s="21" t="s">
        <v>1351</v>
      </c>
      <c r="C89" s="62">
        <v>200</v>
      </c>
      <c r="D89" s="92"/>
      <c r="E89" s="92"/>
      <c r="F89" s="92"/>
      <c r="G89" s="395"/>
      <c r="I89" s="440"/>
    </row>
    <row r="90" spans="1:9" ht="63">
      <c r="A90" s="69" t="s">
        <v>890</v>
      </c>
      <c r="B90" s="21" t="s">
        <v>1352</v>
      </c>
      <c r="C90" s="62">
        <v>200</v>
      </c>
      <c r="D90" s="92"/>
      <c r="E90" s="92"/>
      <c r="F90" s="92"/>
      <c r="G90" s="395"/>
      <c r="I90" s="440"/>
    </row>
    <row r="91" spans="1:9" ht="51" customHeight="1">
      <c r="A91" s="69" t="s">
        <v>891</v>
      </c>
      <c r="B91" s="21" t="s">
        <v>1353</v>
      </c>
      <c r="C91" s="62">
        <v>200</v>
      </c>
      <c r="D91" s="92"/>
      <c r="E91" s="92"/>
      <c r="F91" s="92"/>
      <c r="G91" s="395"/>
      <c r="I91" s="440"/>
    </row>
    <row r="92" spans="1:9" ht="63.75" customHeight="1">
      <c r="A92" s="223" t="s">
        <v>1371</v>
      </c>
      <c r="B92" s="133" t="s">
        <v>1372</v>
      </c>
      <c r="C92" s="134">
        <v>200</v>
      </c>
      <c r="D92" s="135"/>
      <c r="E92" s="135"/>
      <c r="F92" s="135">
        <v>10800</v>
      </c>
      <c r="G92" s="393">
        <v>11500</v>
      </c>
      <c r="I92" s="440">
        <v>11500</v>
      </c>
    </row>
    <row r="93" spans="1:9" ht="63">
      <c r="A93" s="69" t="s">
        <v>893</v>
      </c>
      <c r="B93" s="21" t="s">
        <v>1355</v>
      </c>
      <c r="C93" s="62">
        <v>200</v>
      </c>
      <c r="D93" s="92"/>
      <c r="E93" s="92"/>
      <c r="F93" s="92"/>
      <c r="G93" s="395"/>
      <c r="I93" s="440"/>
    </row>
    <row r="94" spans="1:9" ht="31.5">
      <c r="A94" s="128" t="s">
        <v>933</v>
      </c>
      <c r="B94" s="20" t="s">
        <v>1356</v>
      </c>
      <c r="C94" s="121"/>
      <c r="D94" s="122"/>
      <c r="E94" s="122">
        <f>SUM(E95:E99)</f>
        <v>0</v>
      </c>
      <c r="F94" s="122">
        <f>SUM(F95:F99)</f>
        <v>38000</v>
      </c>
      <c r="G94" s="394">
        <f>SUM(G95:G99)</f>
        <v>34500</v>
      </c>
      <c r="I94" s="440">
        <v>38000</v>
      </c>
    </row>
    <row r="95" spans="1:9" ht="48" customHeight="1">
      <c r="A95" s="69" t="s">
        <v>936</v>
      </c>
      <c r="B95" s="21" t="s">
        <v>1357</v>
      </c>
      <c r="C95" s="62">
        <v>200</v>
      </c>
      <c r="D95" s="92"/>
      <c r="E95" s="92"/>
      <c r="F95" s="92"/>
      <c r="G95" s="395"/>
      <c r="I95" s="440"/>
    </row>
    <row r="96" spans="1:9" ht="49.5" customHeight="1">
      <c r="A96" s="223" t="s">
        <v>1374</v>
      </c>
      <c r="B96" s="133" t="s">
        <v>1375</v>
      </c>
      <c r="C96" s="134">
        <v>200</v>
      </c>
      <c r="D96" s="135"/>
      <c r="E96" s="135"/>
      <c r="F96" s="135">
        <v>30000</v>
      </c>
      <c r="G96" s="393">
        <v>30000</v>
      </c>
      <c r="I96" s="440">
        <v>30000</v>
      </c>
    </row>
    <row r="97" spans="1:9" ht="48.75" customHeight="1">
      <c r="A97" s="223" t="s">
        <v>1400</v>
      </c>
      <c r="B97" s="133" t="s">
        <v>1401</v>
      </c>
      <c r="C97" s="134">
        <v>200</v>
      </c>
      <c r="D97" s="135"/>
      <c r="E97" s="135"/>
      <c r="F97" s="135">
        <v>2000</v>
      </c>
      <c r="G97" s="393">
        <v>2000</v>
      </c>
      <c r="I97" s="440">
        <v>2000</v>
      </c>
    </row>
    <row r="98" spans="1:9" ht="63">
      <c r="A98" s="69" t="s">
        <v>1060</v>
      </c>
      <c r="B98" s="21" t="s">
        <v>1358</v>
      </c>
      <c r="C98" s="62">
        <v>200</v>
      </c>
      <c r="D98" s="92"/>
      <c r="E98" s="92"/>
      <c r="F98" s="92">
        <v>6000</v>
      </c>
      <c r="G98" s="395">
        <v>2500</v>
      </c>
      <c r="I98" s="440">
        <v>6000</v>
      </c>
    </row>
    <row r="99" spans="1:9" ht="63">
      <c r="A99" s="223" t="s">
        <v>938</v>
      </c>
      <c r="B99" s="133" t="s">
        <v>1359</v>
      </c>
      <c r="C99" s="134">
        <v>200</v>
      </c>
      <c r="D99" s="135"/>
      <c r="E99" s="135"/>
      <c r="F99" s="135">
        <v>0</v>
      </c>
      <c r="G99" s="393">
        <v>0</v>
      </c>
      <c r="I99" s="440">
        <v>0</v>
      </c>
    </row>
    <row r="100" spans="1:9" ht="46.5" customHeight="1">
      <c r="A100" s="128" t="s">
        <v>934</v>
      </c>
      <c r="B100" s="20" t="s">
        <v>1360</v>
      </c>
      <c r="C100" s="121"/>
      <c r="D100" s="122"/>
      <c r="E100" s="122">
        <f>SUM(E101:E104)</f>
        <v>0</v>
      </c>
      <c r="F100" s="122">
        <f>SUM(F101:F104)</f>
        <v>20000</v>
      </c>
      <c r="G100" s="394">
        <f>SUM(G101:G104)</f>
        <v>20000</v>
      </c>
      <c r="I100" s="440">
        <v>20000</v>
      </c>
    </row>
    <row r="101" spans="1:9" ht="60.75" customHeight="1">
      <c r="A101" s="69" t="s">
        <v>894</v>
      </c>
      <c r="B101" s="21" t="s">
        <v>1361</v>
      </c>
      <c r="C101" s="62">
        <v>200</v>
      </c>
      <c r="D101" s="92"/>
      <c r="E101" s="92"/>
      <c r="F101" s="92"/>
      <c r="G101" s="395"/>
      <c r="I101" s="440"/>
    </row>
    <row r="102" spans="1:9" ht="63" customHeight="1">
      <c r="A102" s="223" t="s">
        <v>1317</v>
      </c>
      <c r="B102" s="133" t="s">
        <v>1362</v>
      </c>
      <c r="C102" s="134">
        <v>200</v>
      </c>
      <c r="D102" s="135"/>
      <c r="E102" s="135"/>
      <c r="F102" s="135">
        <v>15000</v>
      </c>
      <c r="G102" s="393">
        <v>15000</v>
      </c>
      <c r="I102" s="440">
        <v>15000</v>
      </c>
    </row>
    <row r="103" spans="1:9" ht="78" customHeight="1">
      <c r="A103" s="223" t="s">
        <v>1321</v>
      </c>
      <c r="B103" s="133" t="s">
        <v>1363</v>
      </c>
      <c r="C103" s="134">
        <v>200</v>
      </c>
      <c r="D103" s="135"/>
      <c r="E103" s="135"/>
      <c r="F103" s="135">
        <v>5000</v>
      </c>
      <c r="G103" s="393">
        <v>5000</v>
      </c>
      <c r="I103" s="440">
        <v>5000</v>
      </c>
    </row>
    <row r="104" spans="1:9" ht="78.75" customHeight="1">
      <c r="A104" s="223" t="s">
        <v>895</v>
      </c>
      <c r="B104" s="133" t="s">
        <v>1364</v>
      </c>
      <c r="C104" s="134">
        <v>200</v>
      </c>
      <c r="D104" s="135"/>
      <c r="E104" s="135"/>
      <c r="F104" s="135"/>
      <c r="G104" s="393"/>
      <c r="I104" s="440"/>
    </row>
    <row r="105" spans="1:9" ht="27.75" customHeight="1">
      <c r="A105" s="128" t="s">
        <v>1566</v>
      </c>
      <c r="B105" s="20" t="s">
        <v>1567</v>
      </c>
      <c r="C105" s="121"/>
      <c r="D105" s="122"/>
      <c r="E105" s="122">
        <f>SUM(E106:E107)</f>
        <v>0</v>
      </c>
      <c r="F105" s="122">
        <f>SUM(F106:F107)</f>
        <v>16000</v>
      </c>
      <c r="G105" s="393"/>
      <c r="I105" s="440"/>
    </row>
    <row r="106" spans="1:9" ht="64.5" customHeight="1">
      <c r="A106" s="223" t="s">
        <v>1570</v>
      </c>
      <c r="B106" s="133" t="s">
        <v>1568</v>
      </c>
      <c r="C106" s="134">
        <v>200</v>
      </c>
      <c r="D106" s="135"/>
      <c r="E106" s="135"/>
      <c r="F106" s="135">
        <v>10000</v>
      </c>
      <c r="G106" s="393"/>
      <c r="I106" s="440"/>
    </row>
    <row r="107" spans="1:9" ht="62.25" customHeight="1">
      <c r="A107" s="223" t="s">
        <v>1571</v>
      </c>
      <c r="B107" s="133" t="s">
        <v>1569</v>
      </c>
      <c r="C107" s="134">
        <v>200</v>
      </c>
      <c r="D107" s="135"/>
      <c r="E107" s="135"/>
      <c r="F107" s="135">
        <v>6000</v>
      </c>
      <c r="G107" s="393"/>
      <c r="I107" s="440"/>
    </row>
    <row r="108" spans="1:9" ht="63">
      <c r="A108" s="227" t="s">
        <v>663</v>
      </c>
      <c r="B108" s="23" t="s">
        <v>391</v>
      </c>
      <c r="C108" s="121"/>
      <c r="D108" s="122"/>
      <c r="E108" s="157">
        <f>E109</f>
        <v>0</v>
      </c>
      <c r="F108" s="157">
        <f>F109</f>
        <v>38611667.25</v>
      </c>
      <c r="G108" s="394" t="e">
        <f>G109</f>
        <v>#REF!</v>
      </c>
      <c r="I108" s="440">
        <v>37438310.02</v>
      </c>
    </row>
    <row r="109" spans="1:9" ht="49.5" customHeight="1">
      <c r="A109" s="128" t="s">
        <v>1606</v>
      </c>
      <c r="B109" s="20" t="s">
        <v>392</v>
      </c>
      <c r="C109" s="121"/>
      <c r="D109" s="122"/>
      <c r="E109" s="122">
        <f>E110+E112+E114+E116+E118</f>
        <v>0</v>
      </c>
      <c r="F109" s="122">
        <f>F110+F112+F114+F116+F118</f>
        <v>38611667.25</v>
      </c>
      <c r="G109" s="394" t="e">
        <f>G110</f>
        <v>#REF!</v>
      </c>
      <c r="I109" s="440">
        <v>37438310.02</v>
      </c>
    </row>
    <row r="110" spans="1:9" ht="39" customHeight="1">
      <c r="A110" s="128" t="s">
        <v>1590</v>
      </c>
      <c r="B110" s="20" t="s">
        <v>393</v>
      </c>
      <c r="C110" s="121"/>
      <c r="D110" s="122"/>
      <c r="E110" s="122">
        <f>E111</f>
        <v>0</v>
      </c>
      <c r="F110" s="122">
        <f>F111</f>
        <v>3569380.02</v>
      </c>
      <c r="G110" s="394" t="e">
        <f>G111+#REF!</f>
        <v>#REF!</v>
      </c>
      <c r="I110" s="440">
        <v>37438310.02</v>
      </c>
    </row>
    <row r="111" spans="1:9" ht="49.5" customHeight="1">
      <c r="A111" s="221" t="s">
        <v>1539</v>
      </c>
      <c r="B111" s="133" t="s">
        <v>1546</v>
      </c>
      <c r="C111" s="134">
        <v>400</v>
      </c>
      <c r="D111" s="135"/>
      <c r="E111" s="135"/>
      <c r="F111" s="135">
        <v>3569380.02</v>
      </c>
      <c r="G111" s="393">
        <v>0</v>
      </c>
      <c r="I111" s="440">
        <v>33868930</v>
      </c>
    </row>
    <row r="112" spans="1:9" ht="34.5" customHeight="1">
      <c r="A112" s="128" t="s">
        <v>1592</v>
      </c>
      <c r="B112" s="20" t="s">
        <v>1591</v>
      </c>
      <c r="C112" s="121"/>
      <c r="D112" s="122"/>
      <c r="E112" s="122">
        <f>E113</f>
        <v>0</v>
      </c>
      <c r="F112" s="122">
        <f>F113</f>
        <v>0</v>
      </c>
      <c r="G112" s="393"/>
      <c r="I112" s="440"/>
    </row>
    <row r="113" spans="1:9" ht="49.5" customHeight="1">
      <c r="A113" s="223" t="s">
        <v>1593</v>
      </c>
      <c r="B113" s="133" t="s">
        <v>1594</v>
      </c>
      <c r="C113" s="134">
        <v>400</v>
      </c>
      <c r="D113" s="135"/>
      <c r="E113" s="135"/>
      <c r="F113" s="135">
        <v>0</v>
      </c>
      <c r="G113" s="393"/>
      <c r="I113" s="440"/>
    </row>
    <row r="114" spans="1:9" ht="49.5" customHeight="1">
      <c r="A114" s="128" t="s">
        <v>1595</v>
      </c>
      <c r="B114" s="20" t="s">
        <v>1596</v>
      </c>
      <c r="C114" s="121"/>
      <c r="D114" s="122"/>
      <c r="E114" s="122">
        <f>E115</f>
        <v>0</v>
      </c>
      <c r="F114" s="122">
        <f>F115</f>
        <v>1173357.23</v>
      </c>
      <c r="G114" s="393"/>
      <c r="I114" s="440"/>
    </row>
    <row r="115" spans="1:9" ht="64.5" customHeight="1">
      <c r="A115" s="154" t="s">
        <v>1028</v>
      </c>
      <c r="B115" s="22" t="s">
        <v>1597</v>
      </c>
      <c r="C115" s="96">
        <v>400</v>
      </c>
      <c r="D115" s="97"/>
      <c r="E115" s="97"/>
      <c r="F115" s="97">
        <v>1173357.23</v>
      </c>
      <c r="G115" s="393"/>
      <c r="I115" s="440"/>
    </row>
    <row r="116" spans="1:9" ht="95.25" customHeight="1">
      <c r="A116" s="128" t="s">
        <v>1598</v>
      </c>
      <c r="B116" s="20" t="s">
        <v>1599</v>
      </c>
      <c r="C116" s="121"/>
      <c r="D116" s="122"/>
      <c r="E116" s="122">
        <f>E117</f>
        <v>0</v>
      </c>
      <c r="F116" s="122">
        <f>F117</f>
        <v>33868930</v>
      </c>
      <c r="G116" s="393"/>
      <c r="I116" s="440"/>
    </row>
    <row r="117" spans="1:9" ht="49.5" customHeight="1">
      <c r="A117" s="223" t="s">
        <v>1464</v>
      </c>
      <c r="B117" s="133" t="s">
        <v>1600</v>
      </c>
      <c r="C117" s="134">
        <v>400</v>
      </c>
      <c r="D117" s="135"/>
      <c r="E117" s="135"/>
      <c r="F117" s="135">
        <v>33868930</v>
      </c>
      <c r="G117" s="393"/>
      <c r="I117" s="440"/>
    </row>
    <row r="118" spans="1:9" ht="32.25" customHeight="1">
      <c r="A118" s="128" t="s">
        <v>1605</v>
      </c>
      <c r="B118" s="20" t="s">
        <v>1601</v>
      </c>
      <c r="C118" s="121"/>
      <c r="D118" s="122"/>
      <c r="E118" s="122">
        <f>E119</f>
        <v>0</v>
      </c>
      <c r="F118" s="122">
        <f>F119</f>
        <v>0</v>
      </c>
      <c r="G118" s="393"/>
      <c r="I118" s="440"/>
    </row>
    <row r="119" spans="1:9" ht="49.5" customHeight="1">
      <c r="A119" s="223" t="s">
        <v>1603</v>
      </c>
      <c r="B119" s="133" t="s">
        <v>1602</v>
      </c>
      <c r="C119" s="134">
        <v>400</v>
      </c>
      <c r="D119" s="135"/>
      <c r="E119" s="135"/>
      <c r="F119" s="135">
        <v>0</v>
      </c>
      <c r="G119" s="393"/>
      <c r="I119" s="440"/>
    </row>
    <row r="120" spans="1:9" ht="31.5">
      <c r="A120" s="152" t="s">
        <v>1369</v>
      </c>
      <c r="B120" s="23" t="s">
        <v>394</v>
      </c>
      <c r="C120" s="217"/>
      <c r="D120" s="157">
        <f>D121+D132</f>
        <v>442600</v>
      </c>
      <c r="E120" s="157">
        <f>E121+E132</f>
        <v>0</v>
      </c>
      <c r="F120" s="157">
        <f>F121+F132+F142</f>
        <v>15490803.11</v>
      </c>
      <c r="G120" s="391">
        <f>G121+G132+G142</f>
        <v>15044421</v>
      </c>
      <c r="I120" s="440">
        <v>15210469</v>
      </c>
    </row>
    <row r="121" spans="1:9" ht="31.5">
      <c r="A121" s="153" t="s">
        <v>1393</v>
      </c>
      <c r="B121" s="20" t="s">
        <v>395</v>
      </c>
      <c r="C121" s="61"/>
      <c r="D121" s="98">
        <f>SUM(D123:D124)</f>
        <v>181000</v>
      </c>
      <c r="E121" s="98">
        <f>E122</f>
        <v>0</v>
      </c>
      <c r="F121" s="98">
        <f>F122+F129</f>
        <v>5572460.000000001</v>
      </c>
      <c r="G121" s="392">
        <f>G122+G129</f>
        <v>5512498.000000001</v>
      </c>
      <c r="I121" s="440">
        <v>5572460.000000001</v>
      </c>
    </row>
    <row r="122" spans="1:9" ht="31.5">
      <c r="A122" s="153" t="s">
        <v>396</v>
      </c>
      <c r="B122" s="20" t="s">
        <v>397</v>
      </c>
      <c r="C122" s="61"/>
      <c r="D122" s="98"/>
      <c r="E122" s="98">
        <f>SUM(E123:E125)</f>
        <v>0</v>
      </c>
      <c r="F122" s="98">
        <f>SUM(F123:F127)</f>
        <v>5440460.000000001</v>
      </c>
      <c r="G122" s="392">
        <f>SUM(G123:G127)</f>
        <v>5380498.000000001</v>
      </c>
      <c r="I122" s="440">
        <v>5440460.000000001</v>
      </c>
    </row>
    <row r="123" spans="1:9" ht="66.75" customHeight="1">
      <c r="A123" s="63" t="s">
        <v>398</v>
      </c>
      <c r="B123" s="21" t="s">
        <v>399</v>
      </c>
      <c r="C123" s="62">
        <v>600</v>
      </c>
      <c r="D123" s="92">
        <v>-80600</v>
      </c>
      <c r="E123" s="92"/>
      <c r="F123" s="135">
        <v>3921863.72</v>
      </c>
      <c r="G123" s="393">
        <f>3998750-61700-14580.28</f>
        <v>3922469.72</v>
      </c>
      <c r="H123" s="185"/>
      <c r="I123" s="440">
        <v>3921863.72</v>
      </c>
    </row>
    <row r="124" spans="1:9" ht="82.5" customHeight="1">
      <c r="A124" s="63" t="s">
        <v>513</v>
      </c>
      <c r="B124" s="21" t="s">
        <v>400</v>
      </c>
      <c r="C124" s="62">
        <v>600</v>
      </c>
      <c r="D124" s="92">
        <v>261600</v>
      </c>
      <c r="E124" s="92"/>
      <c r="F124" s="236">
        <v>1503410</v>
      </c>
      <c r="G124" s="397">
        <v>1443448</v>
      </c>
      <c r="H124" s="185"/>
      <c r="I124" s="440">
        <v>1503410</v>
      </c>
    </row>
    <row r="125" spans="1:9" ht="78.75">
      <c r="A125" s="63" t="s">
        <v>567</v>
      </c>
      <c r="B125" s="21" t="s">
        <v>568</v>
      </c>
      <c r="C125" s="62">
        <v>600</v>
      </c>
      <c r="D125" s="92"/>
      <c r="E125" s="236"/>
      <c r="F125" s="236">
        <v>15186.28</v>
      </c>
      <c r="G125" s="397">
        <v>14580.28</v>
      </c>
      <c r="H125" s="185"/>
      <c r="I125" s="440">
        <v>15186.28</v>
      </c>
    </row>
    <row r="126" spans="1:9" ht="64.5" customHeight="1">
      <c r="A126" s="221" t="s">
        <v>1160</v>
      </c>
      <c r="B126" s="21" t="s">
        <v>1162</v>
      </c>
      <c r="C126" s="62">
        <v>600</v>
      </c>
      <c r="D126" s="92"/>
      <c r="E126" s="92"/>
      <c r="F126" s="97"/>
      <c r="G126" s="396"/>
      <c r="I126" s="440"/>
    </row>
    <row r="127" spans="1:9" ht="65.25" customHeight="1">
      <c r="A127" s="221" t="s">
        <v>1154</v>
      </c>
      <c r="B127" s="21" t="s">
        <v>1163</v>
      </c>
      <c r="C127" s="62">
        <v>600</v>
      </c>
      <c r="D127" s="92"/>
      <c r="E127" s="92"/>
      <c r="F127" s="97"/>
      <c r="G127" s="396"/>
      <c r="I127" s="440"/>
    </row>
    <row r="128" spans="1:9" ht="49.5" customHeight="1">
      <c r="A128" s="221" t="s">
        <v>1189</v>
      </c>
      <c r="B128" s="21" t="s">
        <v>1182</v>
      </c>
      <c r="C128" s="62">
        <v>600</v>
      </c>
      <c r="D128" s="92"/>
      <c r="E128" s="92"/>
      <c r="F128" s="97"/>
      <c r="G128" s="396"/>
      <c r="I128" s="440"/>
    </row>
    <row r="129" spans="1:9" ht="33" customHeight="1">
      <c r="A129" s="153" t="s">
        <v>1341</v>
      </c>
      <c r="B129" s="20" t="s">
        <v>1326</v>
      </c>
      <c r="C129" s="61"/>
      <c r="D129" s="98"/>
      <c r="E129" s="98">
        <f>SUM(E130:E131)</f>
        <v>0</v>
      </c>
      <c r="F129" s="98">
        <f>SUM(F130:F131)</f>
        <v>132000</v>
      </c>
      <c r="G129" s="392">
        <f>G130</f>
        <v>132000</v>
      </c>
      <c r="I129" s="440">
        <v>132000</v>
      </c>
    </row>
    <row r="130" spans="1:9" ht="50.25" customHeight="1">
      <c r="A130" s="63" t="s">
        <v>1438</v>
      </c>
      <c r="B130" s="21" t="s">
        <v>1327</v>
      </c>
      <c r="C130" s="62">
        <v>600</v>
      </c>
      <c r="D130" s="92"/>
      <c r="E130" s="92"/>
      <c r="F130" s="135">
        <v>0</v>
      </c>
      <c r="G130" s="393">
        <v>132000</v>
      </c>
      <c r="I130" s="440">
        <v>0</v>
      </c>
    </row>
    <row r="131" spans="1:9" ht="50.25" customHeight="1">
      <c r="A131" s="63" t="s">
        <v>1438</v>
      </c>
      <c r="B131" s="21" t="s">
        <v>1521</v>
      </c>
      <c r="C131" s="62">
        <v>600</v>
      </c>
      <c r="D131" s="92"/>
      <c r="E131" s="92"/>
      <c r="F131" s="135">
        <v>132000</v>
      </c>
      <c r="G131" s="393"/>
      <c r="I131" s="440">
        <v>132000</v>
      </c>
    </row>
    <row r="132" spans="1:9" ht="31.5">
      <c r="A132" s="153" t="s">
        <v>401</v>
      </c>
      <c r="B132" s="20" t="s">
        <v>402</v>
      </c>
      <c r="C132" s="61"/>
      <c r="D132" s="98">
        <f>SUM(D134:D135)</f>
        <v>261600</v>
      </c>
      <c r="E132" s="98">
        <f>E133</f>
        <v>0</v>
      </c>
      <c r="F132" s="98">
        <f>F133</f>
        <v>9792343.11</v>
      </c>
      <c r="G132" s="392">
        <f>G133</f>
        <v>9405923</v>
      </c>
      <c r="I132" s="440">
        <v>9512009</v>
      </c>
    </row>
    <row r="133" spans="1:9" ht="15.75">
      <c r="A133" s="153" t="s">
        <v>404</v>
      </c>
      <c r="B133" s="20" t="s">
        <v>403</v>
      </c>
      <c r="C133" s="61"/>
      <c r="D133" s="98"/>
      <c r="E133" s="98">
        <f>SUM(E134:E141)</f>
        <v>0</v>
      </c>
      <c r="F133" s="98">
        <f>SUM(F134:F141)</f>
        <v>9792343.11</v>
      </c>
      <c r="G133" s="392">
        <f>SUM(G134:G141)</f>
        <v>9405923</v>
      </c>
      <c r="I133" s="440">
        <v>9512009</v>
      </c>
    </row>
    <row r="134" spans="1:9" ht="65.25" customHeight="1">
      <c r="A134" s="221" t="s">
        <v>405</v>
      </c>
      <c r="B134" s="133" t="s">
        <v>406</v>
      </c>
      <c r="C134" s="134">
        <v>600</v>
      </c>
      <c r="D134" s="135"/>
      <c r="E134" s="135"/>
      <c r="F134" s="135">
        <v>6759401.51</v>
      </c>
      <c r="G134" s="393">
        <f>6616718-26244.49</f>
        <v>6590473.51</v>
      </c>
      <c r="H134" s="185"/>
      <c r="I134" s="440">
        <v>6589401.51</v>
      </c>
    </row>
    <row r="135" spans="1:9" ht="81.75" customHeight="1">
      <c r="A135" s="221" t="s">
        <v>513</v>
      </c>
      <c r="B135" s="133" t="s">
        <v>407</v>
      </c>
      <c r="C135" s="134">
        <v>600</v>
      </c>
      <c r="D135" s="135">
        <v>261600</v>
      </c>
      <c r="E135" s="135"/>
      <c r="F135" s="236">
        <v>2704291</v>
      </c>
      <c r="G135" s="397">
        <v>2598205</v>
      </c>
      <c r="H135" s="185"/>
      <c r="I135" s="440">
        <v>2704291</v>
      </c>
    </row>
    <row r="136" spans="1:9" ht="78.75">
      <c r="A136" s="221" t="s">
        <v>567</v>
      </c>
      <c r="B136" s="133" t="s">
        <v>569</v>
      </c>
      <c r="C136" s="134">
        <v>600</v>
      </c>
      <c r="D136" s="135"/>
      <c r="E136" s="236"/>
      <c r="F136" s="135">
        <v>27316.49</v>
      </c>
      <c r="G136" s="393">
        <v>26244.49</v>
      </c>
      <c r="H136" s="185"/>
      <c r="I136" s="440">
        <v>27316.49</v>
      </c>
    </row>
    <row r="137" spans="1:9" ht="63" customHeight="1">
      <c r="A137" s="221" t="s">
        <v>1156</v>
      </c>
      <c r="B137" s="133" t="s">
        <v>1165</v>
      </c>
      <c r="C137" s="134">
        <v>600</v>
      </c>
      <c r="D137" s="135"/>
      <c r="E137" s="222"/>
      <c r="F137" s="135">
        <v>191000</v>
      </c>
      <c r="G137" s="393">
        <v>191000</v>
      </c>
      <c r="I137" s="440">
        <v>191000</v>
      </c>
    </row>
    <row r="138" spans="1:9" ht="65.25" customHeight="1">
      <c r="A138" s="221" t="s">
        <v>1158</v>
      </c>
      <c r="B138" s="133" t="s">
        <v>1164</v>
      </c>
      <c r="C138" s="134">
        <v>600</v>
      </c>
      <c r="D138" s="135"/>
      <c r="E138" s="135"/>
      <c r="F138" s="135">
        <v>110334.11</v>
      </c>
      <c r="G138" s="393"/>
      <c r="I138" s="440"/>
    </row>
    <row r="139" spans="1:9" ht="48" customHeight="1">
      <c r="A139" s="221" t="s">
        <v>1190</v>
      </c>
      <c r="B139" s="133" t="s">
        <v>1184</v>
      </c>
      <c r="C139" s="134">
        <v>600</v>
      </c>
      <c r="D139" s="135"/>
      <c r="E139" s="135"/>
      <c r="F139" s="135"/>
      <c r="G139" s="393"/>
      <c r="I139" s="440"/>
    </row>
    <row r="140" spans="1:9" ht="49.5" customHeight="1">
      <c r="A140" s="63" t="s">
        <v>556</v>
      </c>
      <c r="B140" s="21" t="s">
        <v>765</v>
      </c>
      <c r="C140" s="62">
        <v>600</v>
      </c>
      <c r="D140" s="92"/>
      <c r="E140" s="92"/>
      <c r="F140" s="92"/>
      <c r="G140" s="395"/>
      <c r="I140" s="440"/>
    </row>
    <row r="141" spans="1:9" ht="85.5" customHeight="1">
      <c r="A141" s="63" t="s">
        <v>1237</v>
      </c>
      <c r="B141" s="21" t="s">
        <v>1235</v>
      </c>
      <c r="C141" s="62">
        <v>600</v>
      </c>
      <c r="D141" s="92"/>
      <c r="E141" s="92"/>
      <c r="F141" s="92"/>
      <c r="G141" s="395"/>
      <c r="I141" s="440"/>
    </row>
    <row r="142" spans="1:9" ht="18" customHeight="1">
      <c r="A142" s="153" t="s">
        <v>1330</v>
      </c>
      <c r="B142" s="20" t="s">
        <v>1331</v>
      </c>
      <c r="C142" s="61"/>
      <c r="D142" s="98" t="e">
        <f>SUM(D144:D146)</f>
        <v>#REF!</v>
      </c>
      <c r="E142" s="98">
        <f>E143</f>
        <v>0</v>
      </c>
      <c r="F142" s="98">
        <f>F143</f>
        <v>126000</v>
      </c>
      <c r="G142" s="392">
        <f>G143</f>
        <v>126000</v>
      </c>
      <c r="I142" s="440">
        <v>126000</v>
      </c>
    </row>
    <row r="143" spans="1:9" ht="19.5" customHeight="1">
      <c r="A143" s="153" t="s">
        <v>1367</v>
      </c>
      <c r="B143" s="20" t="s">
        <v>1332</v>
      </c>
      <c r="C143" s="61"/>
      <c r="D143" s="98"/>
      <c r="E143" s="98">
        <f>E144+E145</f>
        <v>0</v>
      </c>
      <c r="F143" s="98">
        <f>F144+F145</f>
        <v>126000</v>
      </c>
      <c r="G143" s="392">
        <f>G144</f>
        <v>126000</v>
      </c>
      <c r="I143" s="440">
        <v>126000</v>
      </c>
    </row>
    <row r="144" spans="1:9" ht="36.75" customHeight="1">
      <c r="A144" s="221" t="s">
        <v>1333</v>
      </c>
      <c r="B144" s="133" t="s">
        <v>1334</v>
      </c>
      <c r="C144" s="134">
        <v>200</v>
      </c>
      <c r="D144" s="135"/>
      <c r="E144" s="135"/>
      <c r="F144" s="135">
        <v>0</v>
      </c>
      <c r="G144" s="393">
        <v>126000</v>
      </c>
      <c r="H144" s="461">
        <v>126000</v>
      </c>
      <c r="I144" s="440">
        <v>0</v>
      </c>
    </row>
    <row r="145" spans="1:9" ht="48" customHeight="1">
      <c r="A145" s="221" t="s">
        <v>1528</v>
      </c>
      <c r="B145" s="133" t="s">
        <v>1526</v>
      </c>
      <c r="C145" s="134">
        <v>600</v>
      </c>
      <c r="D145" s="135"/>
      <c r="E145" s="135"/>
      <c r="F145" s="135">
        <v>126000</v>
      </c>
      <c r="G145" s="393"/>
      <c r="I145" s="440">
        <v>126000</v>
      </c>
    </row>
    <row r="146" spans="1:9" ht="47.25">
      <c r="A146" s="152" t="s">
        <v>659</v>
      </c>
      <c r="B146" s="23" t="s">
        <v>408</v>
      </c>
      <c r="C146" s="217"/>
      <c r="D146" s="157" t="e">
        <f>D147+D151+D164+#REF!</f>
        <v>#REF!</v>
      </c>
      <c r="E146" s="157">
        <f>E147+E151+E164+E167+E172+E177+E181</f>
        <v>0</v>
      </c>
      <c r="F146" s="157">
        <f>F147+F151+F164+F167+F172+F177+F181</f>
        <v>41914721.04</v>
      </c>
      <c r="G146" s="391">
        <f>G147+G151+G164+G167+G172+G177+G181</f>
        <v>19219351.53</v>
      </c>
      <c r="H146" s="185">
        <f>F146-E146</f>
        <v>41914721.04</v>
      </c>
      <c r="I146" s="440">
        <v>34045438.94</v>
      </c>
    </row>
    <row r="147" spans="1:9" ht="31.5">
      <c r="A147" s="153" t="s">
        <v>409</v>
      </c>
      <c r="B147" s="20" t="s">
        <v>410</v>
      </c>
      <c r="C147" s="61"/>
      <c r="D147" s="98" t="e">
        <f>D150+#REF!+#REF!</f>
        <v>#REF!</v>
      </c>
      <c r="E147" s="98">
        <f>E148</f>
        <v>0</v>
      </c>
      <c r="F147" s="98">
        <f>F148</f>
        <v>13093873.16</v>
      </c>
      <c r="G147" s="392">
        <f>G148</f>
        <v>1959694.96</v>
      </c>
      <c r="H147" s="185"/>
      <c r="I147" s="440">
        <v>7461430.31</v>
      </c>
    </row>
    <row r="148" spans="1:9" ht="47.25" customHeight="1">
      <c r="A148" s="153" t="s">
        <v>411</v>
      </c>
      <c r="B148" s="20" t="s">
        <v>412</v>
      </c>
      <c r="C148" s="61"/>
      <c r="D148" s="98"/>
      <c r="E148" s="98">
        <f>SUM(E149:E150)</f>
        <v>0</v>
      </c>
      <c r="F148" s="98">
        <f>SUM(F149:F150)</f>
        <v>13093873.16</v>
      </c>
      <c r="G148" s="392">
        <f>SUM(G150:G150)</f>
        <v>1959694.96</v>
      </c>
      <c r="H148" s="185"/>
      <c r="I148" s="440">
        <v>7461430.31</v>
      </c>
    </row>
    <row r="149" spans="1:9" ht="63.75" customHeight="1">
      <c r="A149" s="221" t="s">
        <v>1585</v>
      </c>
      <c r="B149" s="133" t="s">
        <v>1547</v>
      </c>
      <c r="C149" s="134">
        <v>400</v>
      </c>
      <c r="D149" s="135"/>
      <c r="E149" s="135"/>
      <c r="F149" s="135">
        <v>11134178.2</v>
      </c>
      <c r="G149" s="392"/>
      <c r="H149" s="185"/>
      <c r="I149" s="440">
        <v>5501735.35</v>
      </c>
    </row>
    <row r="150" spans="1:9" ht="53.25" customHeight="1">
      <c r="A150" s="64" t="s">
        <v>601</v>
      </c>
      <c r="B150" s="21" t="s">
        <v>413</v>
      </c>
      <c r="C150" s="62">
        <v>200</v>
      </c>
      <c r="D150" s="92">
        <v>-220000</v>
      </c>
      <c r="E150" s="92"/>
      <c r="F150" s="135">
        <v>1959694.96</v>
      </c>
      <c r="G150" s="393">
        <v>1959694.96</v>
      </c>
      <c r="H150" s="185"/>
      <c r="I150" s="440">
        <v>1959694.96</v>
      </c>
    </row>
    <row r="151" spans="1:9" ht="66" customHeight="1">
      <c r="A151" s="153" t="s">
        <v>674</v>
      </c>
      <c r="B151" s="20" t="s">
        <v>414</v>
      </c>
      <c r="C151" s="61"/>
      <c r="D151" s="98" t="e">
        <f>#REF!+D162+#REF!+#REF!+#REF!</f>
        <v>#REF!</v>
      </c>
      <c r="E151" s="98">
        <f>E152+E161</f>
        <v>0</v>
      </c>
      <c r="F151" s="98">
        <f>F152+F161</f>
        <v>19473903.3</v>
      </c>
      <c r="G151" s="392">
        <f>G152+G161</f>
        <v>9034680.35</v>
      </c>
      <c r="H151" s="185">
        <f>F151-E151</f>
        <v>19473903.3</v>
      </c>
      <c r="I151" s="440">
        <v>17237064.05</v>
      </c>
    </row>
    <row r="152" spans="1:9" ht="63" customHeight="1">
      <c r="A152" s="153" t="s">
        <v>908</v>
      </c>
      <c r="B152" s="20" t="s">
        <v>415</v>
      </c>
      <c r="C152" s="61"/>
      <c r="D152" s="98"/>
      <c r="E152" s="98">
        <f>SUM(E153:E160)</f>
        <v>0</v>
      </c>
      <c r="F152" s="122">
        <f>SUM(F153:F160)</f>
        <v>17784903.3</v>
      </c>
      <c r="G152" s="394">
        <f>SUM(G153:G160)</f>
        <v>7434680.35</v>
      </c>
      <c r="H152" s="185">
        <f>F152-E152</f>
        <v>17784903.3</v>
      </c>
      <c r="I152" s="477">
        <v>15548064.05</v>
      </c>
    </row>
    <row r="153" spans="1:9" ht="67.5" customHeight="1">
      <c r="A153" s="221" t="s">
        <v>665</v>
      </c>
      <c r="B153" s="133" t="s">
        <v>667</v>
      </c>
      <c r="C153" s="134">
        <v>200</v>
      </c>
      <c r="D153" s="135"/>
      <c r="E153" s="135"/>
      <c r="F153" s="135">
        <v>1974678.17</v>
      </c>
      <c r="G153" s="393">
        <v>1761044.73</v>
      </c>
      <c r="H153" s="163"/>
      <c r="I153" s="477">
        <v>915886.76</v>
      </c>
    </row>
    <row r="154" spans="1:9" ht="67.5" customHeight="1">
      <c r="A154" s="221" t="s">
        <v>1256</v>
      </c>
      <c r="B154" s="133" t="s">
        <v>667</v>
      </c>
      <c r="C154" s="134">
        <v>400</v>
      </c>
      <c r="D154" s="135"/>
      <c r="E154" s="135"/>
      <c r="F154" s="135">
        <v>3230872.0599999996</v>
      </c>
      <c r="G154" s="393">
        <v>0</v>
      </c>
      <c r="H154" s="163"/>
      <c r="I154" s="477">
        <v>3152824.2199999997</v>
      </c>
    </row>
    <row r="155" spans="1:9" ht="66" customHeight="1">
      <c r="A155" s="221" t="s">
        <v>652</v>
      </c>
      <c r="B155" s="133" t="s">
        <v>668</v>
      </c>
      <c r="C155" s="134">
        <v>200</v>
      </c>
      <c r="D155" s="135"/>
      <c r="E155" s="135"/>
      <c r="F155" s="135">
        <v>4259353.07</v>
      </c>
      <c r="G155" s="393">
        <v>4353635.62</v>
      </c>
      <c r="H155" s="431"/>
      <c r="I155" s="477">
        <v>5159353.07</v>
      </c>
    </row>
    <row r="156" spans="1:9" ht="66" customHeight="1">
      <c r="A156" s="64" t="s">
        <v>1198</v>
      </c>
      <c r="B156" s="22" t="s">
        <v>668</v>
      </c>
      <c r="C156" s="96">
        <v>400</v>
      </c>
      <c r="D156" s="97"/>
      <c r="E156" s="97"/>
      <c r="F156" s="97"/>
      <c r="G156" s="396"/>
      <c r="H156" s="163"/>
      <c r="I156" s="477"/>
    </row>
    <row r="157" spans="1:9" ht="51.75" customHeight="1">
      <c r="A157" s="64" t="s">
        <v>1203</v>
      </c>
      <c r="B157" s="22" t="s">
        <v>1200</v>
      </c>
      <c r="C157" s="96">
        <v>200</v>
      </c>
      <c r="D157" s="97"/>
      <c r="E157" s="97"/>
      <c r="F157" s="97"/>
      <c r="G157" s="396"/>
      <c r="H157" s="163"/>
      <c r="I157" s="477"/>
    </row>
    <row r="158" spans="1:9" ht="51" customHeight="1">
      <c r="A158" s="64" t="s">
        <v>1204</v>
      </c>
      <c r="B158" s="22" t="s">
        <v>1201</v>
      </c>
      <c r="C158" s="96">
        <v>200</v>
      </c>
      <c r="D158" s="97"/>
      <c r="E158" s="97"/>
      <c r="F158" s="97"/>
      <c r="G158" s="396"/>
      <c r="H158" s="163"/>
      <c r="I158" s="477"/>
    </row>
    <row r="159" spans="1:9" ht="96" customHeight="1">
      <c r="A159" s="64" t="s">
        <v>1212</v>
      </c>
      <c r="B159" s="22" t="s">
        <v>1520</v>
      </c>
      <c r="C159" s="96">
        <v>800</v>
      </c>
      <c r="D159" s="97"/>
      <c r="E159" s="97"/>
      <c r="F159" s="97">
        <v>7000000</v>
      </c>
      <c r="G159" s="396"/>
      <c r="H159" s="478">
        <v>0</v>
      </c>
      <c r="I159" s="477">
        <v>5000000</v>
      </c>
    </row>
    <row r="160" spans="1:9" ht="95.25" customHeight="1">
      <c r="A160" s="64" t="s">
        <v>755</v>
      </c>
      <c r="B160" s="22" t="s">
        <v>754</v>
      </c>
      <c r="C160" s="96">
        <v>500</v>
      </c>
      <c r="D160" s="97"/>
      <c r="E160" s="97"/>
      <c r="F160" s="135">
        <v>1320000</v>
      </c>
      <c r="G160" s="393">
        <v>1320000</v>
      </c>
      <c r="H160" s="163"/>
      <c r="I160" s="477">
        <v>1320000</v>
      </c>
    </row>
    <row r="161" spans="1:9" ht="33.75" customHeight="1">
      <c r="A161" s="153" t="s">
        <v>909</v>
      </c>
      <c r="B161" s="20" t="s">
        <v>910</v>
      </c>
      <c r="C161" s="61"/>
      <c r="D161" s="98"/>
      <c r="E161" s="98">
        <f>SUM(E162:E163)</f>
        <v>0</v>
      </c>
      <c r="F161" s="98">
        <f>SUM(F162:F163)</f>
        <v>1689000</v>
      </c>
      <c r="G161" s="392">
        <f>SUM(G162:G163)</f>
        <v>1600000</v>
      </c>
      <c r="H161" s="163"/>
      <c r="I161" s="477">
        <v>1689000</v>
      </c>
    </row>
    <row r="162" spans="1:9" ht="47.25">
      <c r="A162" s="64" t="s">
        <v>602</v>
      </c>
      <c r="B162" s="22" t="s">
        <v>911</v>
      </c>
      <c r="C162" s="96">
        <v>200</v>
      </c>
      <c r="D162" s="97"/>
      <c r="E162" s="97"/>
      <c r="F162" s="135">
        <v>115836</v>
      </c>
      <c r="G162" s="393">
        <v>115836</v>
      </c>
      <c r="H162" s="163"/>
      <c r="I162" s="477">
        <v>115836</v>
      </c>
    </row>
    <row r="163" spans="1:9" ht="81.75" customHeight="1">
      <c r="A163" s="223" t="s">
        <v>664</v>
      </c>
      <c r="B163" s="133" t="s">
        <v>912</v>
      </c>
      <c r="C163" s="134">
        <v>200</v>
      </c>
      <c r="D163" s="135"/>
      <c r="E163" s="135"/>
      <c r="F163" s="135">
        <v>1573164</v>
      </c>
      <c r="G163" s="393">
        <v>1484164</v>
      </c>
      <c r="H163" s="185"/>
      <c r="I163" s="440">
        <v>1573164</v>
      </c>
    </row>
    <row r="164" spans="1:9" ht="31.5">
      <c r="A164" s="153" t="s">
        <v>676</v>
      </c>
      <c r="B164" s="20" t="s">
        <v>416</v>
      </c>
      <c r="C164" s="61"/>
      <c r="D164" s="98" t="e">
        <f>SUM(#REF!)</f>
        <v>#REF!</v>
      </c>
      <c r="E164" s="98">
        <f>E165</f>
        <v>0</v>
      </c>
      <c r="F164" s="98">
        <f>F165</f>
        <v>684205.2</v>
      </c>
      <c r="G164" s="392">
        <f>G165</f>
        <v>2394.7</v>
      </c>
      <c r="I164" s="440">
        <v>684205.2</v>
      </c>
    </row>
    <row r="165" spans="1:9" ht="15.75">
      <c r="A165" s="153" t="s">
        <v>418</v>
      </c>
      <c r="B165" s="20" t="s">
        <v>417</v>
      </c>
      <c r="C165" s="61"/>
      <c r="D165" s="98"/>
      <c r="E165" s="98">
        <f>SUM(E166:E166)</f>
        <v>0</v>
      </c>
      <c r="F165" s="98">
        <f>SUM(F166:F166)</f>
        <v>684205.2</v>
      </c>
      <c r="G165" s="392">
        <f>SUM(G166:G166)</f>
        <v>2394.7</v>
      </c>
      <c r="I165" s="440">
        <v>684205.2</v>
      </c>
    </row>
    <row r="166" spans="1:9" ht="47.25">
      <c r="A166" s="64" t="s">
        <v>998</v>
      </c>
      <c r="B166" s="22" t="s">
        <v>1003</v>
      </c>
      <c r="C166" s="96">
        <v>300</v>
      </c>
      <c r="D166" s="97"/>
      <c r="E166" s="97"/>
      <c r="F166" s="135">
        <v>684205.2</v>
      </c>
      <c r="G166" s="393">
        <v>2394.7</v>
      </c>
      <c r="I166" s="440">
        <v>684205.2</v>
      </c>
    </row>
    <row r="167" spans="1:9" ht="31.5">
      <c r="A167" s="153" t="s">
        <v>926</v>
      </c>
      <c r="B167" s="20" t="s">
        <v>648</v>
      </c>
      <c r="C167" s="61"/>
      <c r="D167" s="98">
        <f>SUM(D169:D170)</f>
        <v>223500</v>
      </c>
      <c r="E167" s="98">
        <f>E168</f>
        <v>0</v>
      </c>
      <c r="F167" s="98">
        <f>F168</f>
        <v>3375354.95</v>
      </c>
      <c r="G167" s="392">
        <f>G168</f>
        <v>2978103.62</v>
      </c>
      <c r="I167" s="440">
        <v>3375354.95</v>
      </c>
    </row>
    <row r="168" spans="1:9" ht="32.25" customHeight="1">
      <c r="A168" s="153" t="s">
        <v>675</v>
      </c>
      <c r="B168" s="20" t="s">
        <v>649</v>
      </c>
      <c r="C168" s="61"/>
      <c r="D168" s="98"/>
      <c r="E168" s="98">
        <f>SUM(E169:E171)</f>
        <v>0</v>
      </c>
      <c r="F168" s="98">
        <f>SUM(F169:F171)</f>
        <v>3375354.95</v>
      </c>
      <c r="G168" s="392">
        <f>SUM(G169:G171)</f>
        <v>2978103.62</v>
      </c>
      <c r="I168" s="440">
        <v>3375354.95</v>
      </c>
    </row>
    <row r="169" spans="1:9" ht="47.25">
      <c r="A169" s="63" t="s">
        <v>1057</v>
      </c>
      <c r="B169" s="21" t="s">
        <v>669</v>
      </c>
      <c r="C169" s="62">
        <v>200</v>
      </c>
      <c r="D169" s="92">
        <v>223500</v>
      </c>
      <c r="E169" s="92"/>
      <c r="F169" s="135">
        <v>1546853.1</v>
      </c>
      <c r="G169" s="393">
        <v>1546853.1</v>
      </c>
      <c r="I169" s="440">
        <v>1546853.1</v>
      </c>
    </row>
    <row r="170" spans="1:9" ht="47.25">
      <c r="A170" s="63" t="s">
        <v>645</v>
      </c>
      <c r="B170" s="21" t="s">
        <v>670</v>
      </c>
      <c r="C170" s="62">
        <v>200</v>
      </c>
      <c r="D170" s="92"/>
      <c r="E170" s="92"/>
      <c r="F170" s="135">
        <v>1632824.9300000002</v>
      </c>
      <c r="G170" s="393">
        <v>1235573.6</v>
      </c>
      <c r="H170" s="185"/>
      <c r="I170" s="440">
        <v>1632824.9300000002</v>
      </c>
    </row>
    <row r="171" spans="1:9" ht="63">
      <c r="A171" s="158" t="s">
        <v>1062</v>
      </c>
      <c r="B171" s="133" t="s">
        <v>1131</v>
      </c>
      <c r="C171" s="134">
        <v>800</v>
      </c>
      <c r="D171" s="92"/>
      <c r="E171" s="92"/>
      <c r="F171" s="135">
        <v>195676.92</v>
      </c>
      <c r="G171" s="393">
        <v>195676.92</v>
      </c>
      <c r="I171" s="440">
        <v>195676.92</v>
      </c>
    </row>
    <row r="172" spans="1:9" ht="49.5" customHeight="1">
      <c r="A172" s="153" t="s">
        <v>666</v>
      </c>
      <c r="B172" s="20" t="s">
        <v>650</v>
      </c>
      <c r="C172" s="61"/>
      <c r="D172" s="98">
        <f>SUM(D184:D185)</f>
        <v>0</v>
      </c>
      <c r="E172" s="98">
        <f>E173</f>
        <v>0</v>
      </c>
      <c r="F172" s="98">
        <f>F173</f>
        <v>993556.43</v>
      </c>
      <c r="G172" s="392">
        <f>G173</f>
        <v>950649.9</v>
      </c>
      <c r="H172" s="185">
        <f>F172-E172</f>
        <v>993556.43</v>
      </c>
      <c r="I172" s="440">
        <v>993556.43</v>
      </c>
    </row>
    <row r="173" spans="1:9" ht="31.5">
      <c r="A173" s="153" t="s">
        <v>655</v>
      </c>
      <c r="B173" s="20" t="s">
        <v>651</v>
      </c>
      <c r="C173" s="61"/>
      <c r="D173" s="98"/>
      <c r="E173" s="98">
        <f>SUM(E174:E176)</f>
        <v>0</v>
      </c>
      <c r="F173" s="122">
        <f>SUM(F174:F176)</f>
        <v>993556.43</v>
      </c>
      <c r="G173" s="394">
        <f>SUM(G174:G176)</f>
        <v>950649.9</v>
      </c>
      <c r="H173" s="185">
        <f>F173-E173</f>
        <v>993556.43</v>
      </c>
      <c r="I173" s="440">
        <v>993556.43</v>
      </c>
    </row>
    <row r="174" spans="1:9" s="186" customFormat="1" ht="78.75">
      <c r="A174" s="64" t="s">
        <v>741</v>
      </c>
      <c r="B174" s="133" t="s">
        <v>740</v>
      </c>
      <c r="C174" s="134">
        <v>500</v>
      </c>
      <c r="D174" s="135"/>
      <c r="E174" s="135"/>
      <c r="F174" s="135">
        <v>588736.43</v>
      </c>
      <c r="G174" s="393">
        <f>545675.05+154.85</f>
        <v>545829.9</v>
      </c>
      <c r="H174" s="135">
        <f>545675.05+154.85</f>
        <v>545829.9</v>
      </c>
      <c r="I174" s="476">
        <v>588736.43</v>
      </c>
    </row>
    <row r="175" spans="1:9" s="186" customFormat="1" ht="52.5" customHeight="1">
      <c r="A175" s="64" t="s">
        <v>1205</v>
      </c>
      <c r="B175" s="133" t="s">
        <v>1202</v>
      </c>
      <c r="C175" s="134">
        <v>200</v>
      </c>
      <c r="D175" s="135"/>
      <c r="E175" s="135"/>
      <c r="F175" s="135"/>
      <c r="G175" s="393"/>
      <c r="I175" s="476"/>
    </row>
    <row r="176" spans="1:9" s="186" customFormat="1" ht="63">
      <c r="A176" s="158" t="s">
        <v>913</v>
      </c>
      <c r="B176" s="133" t="s">
        <v>672</v>
      </c>
      <c r="C176" s="134">
        <v>200</v>
      </c>
      <c r="D176" s="135"/>
      <c r="E176" s="135"/>
      <c r="F176" s="135">
        <v>404820</v>
      </c>
      <c r="G176" s="393">
        <v>404820</v>
      </c>
      <c r="I176" s="476">
        <v>404820</v>
      </c>
    </row>
    <row r="177" spans="1:9" s="186" customFormat="1" ht="31.5" customHeight="1">
      <c r="A177" s="153" t="s">
        <v>967</v>
      </c>
      <c r="B177" s="20" t="s">
        <v>927</v>
      </c>
      <c r="C177" s="121"/>
      <c r="D177" s="122"/>
      <c r="E177" s="122">
        <f>E178</f>
        <v>0</v>
      </c>
      <c r="F177" s="122">
        <f>F178</f>
        <v>0</v>
      </c>
      <c r="G177" s="394">
        <f>G178</f>
        <v>0</v>
      </c>
      <c r="I177" s="476">
        <v>0</v>
      </c>
    </row>
    <row r="178" spans="1:9" s="186" customFormat="1" ht="35.25" customHeight="1">
      <c r="A178" s="153" t="s">
        <v>968</v>
      </c>
      <c r="B178" s="20" t="s">
        <v>928</v>
      </c>
      <c r="C178" s="121"/>
      <c r="D178" s="122"/>
      <c r="E178" s="122">
        <f>E179+E180</f>
        <v>0</v>
      </c>
      <c r="F178" s="122">
        <f>F179+F180</f>
        <v>0</v>
      </c>
      <c r="G178" s="394">
        <f>G179+G180</f>
        <v>0</v>
      </c>
      <c r="I178" s="476">
        <v>0</v>
      </c>
    </row>
    <row r="179" spans="1:9" s="186" customFormat="1" ht="47.25">
      <c r="A179" s="158" t="s">
        <v>969</v>
      </c>
      <c r="B179" s="133" t="s">
        <v>970</v>
      </c>
      <c r="C179" s="134">
        <v>200</v>
      </c>
      <c r="D179" s="135"/>
      <c r="E179" s="135"/>
      <c r="F179" s="135"/>
      <c r="G179" s="393"/>
      <c r="I179" s="476"/>
    </row>
    <row r="180" spans="1:9" s="186" customFormat="1" ht="47.25">
      <c r="A180" s="158" t="s">
        <v>1010</v>
      </c>
      <c r="B180" s="133" t="s">
        <v>1042</v>
      </c>
      <c r="C180" s="134">
        <v>200</v>
      </c>
      <c r="D180" s="135"/>
      <c r="E180" s="135"/>
      <c r="F180" s="135"/>
      <c r="G180" s="393"/>
      <c r="I180" s="476"/>
    </row>
    <row r="181" spans="1:9" s="186" customFormat="1" ht="49.5" customHeight="1">
      <c r="A181" s="153" t="s">
        <v>1103</v>
      </c>
      <c r="B181" s="20" t="s">
        <v>1104</v>
      </c>
      <c r="C181" s="121"/>
      <c r="D181" s="135"/>
      <c r="E181" s="122">
        <f aca="true" t="shared" si="2" ref="E181:G182">E182</f>
        <v>0</v>
      </c>
      <c r="F181" s="122">
        <f t="shared" si="2"/>
        <v>4293828</v>
      </c>
      <c r="G181" s="394">
        <f t="shared" si="2"/>
        <v>4293828</v>
      </c>
      <c r="I181" s="476">
        <v>4293828</v>
      </c>
    </row>
    <row r="182" spans="1:9" s="186" customFormat="1" ht="50.25" customHeight="1">
      <c r="A182" s="153" t="s">
        <v>1105</v>
      </c>
      <c r="B182" s="20" t="s">
        <v>1106</v>
      </c>
      <c r="C182" s="121"/>
      <c r="D182" s="135"/>
      <c r="E182" s="122">
        <f t="shared" si="2"/>
        <v>0</v>
      </c>
      <c r="F182" s="122">
        <f t="shared" si="2"/>
        <v>4293828</v>
      </c>
      <c r="G182" s="394">
        <f t="shared" si="2"/>
        <v>4293828</v>
      </c>
      <c r="I182" s="476">
        <v>4293828</v>
      </c>
    </row>
    <row r="183" spans="1:9" s="186" customFormat="1" ht="77.25" customHeight="1">
      <c r="A183" s="158" t="s">
        <v>1058</v>
      </c>
      <c r="B183" s="133" t="s">
        <v>1228</v>
      </c>
      <c r="C183" s="134">
        <v>400</v>
      </c>
      <c r="D183" s="135"/>
      <c r="E183" s="135"/>
      <c r="F183" s="135">
        <v>4293828</v>
      </c>
      <c r="G183" s="393">
        <v>4293828</v>
      </c>
      <c r="I183" s="476">
        <v>4293828</v>
      </c>
    </row>
    <row r="184" spans="1:9" ht="31.5">
      <c r="A184" s="152" t="s">
        <v>660</v>
      </c>
      <c r="B184" s="23" t="s">
        <v>419</v>
      </c>
      <c r="C184" s="217"/>
      <c r="D184" s="157">
        <f>D185+D188</f>
        <v>0</v>
      </c>
      <c r="E184" s="157">
        <f>E185+E188</f>
        <v>0</v>
      </c>
      <c r="F184" s="157">
        <f>F185+F188</f>
        <v>1148421</v>
      </c>
      <c r="G184" s="391">
        <f>G185+G188</f>
        <v>1068521</v>
      </c>
      <c r="I184" s="440">
        <v>1148421</v>
      </c>
    </row>
    <row r="185" spans="1:9" ht="31.5">
      <c r="A185" s="153" t="s">
        <v>677</v>
      </c>
      <c r="B185" s="20" t="s">
        <v>420</v>
      </c>
      <c r="C185" s="61"/>
      <c r="D185" s="98">
        <f>D187</f>
        <v>0</v>
      </c>
      <c r="E185" s="98">
        <f aca="true" t="shared" si="3" ref="E185:G186">E186</f>
        <v>0</v>
      </c>
      <c r="F185" s="98">
        <f t="shared" si="3"/>
        <v>400000</v>
      </c>
      <c r="G185" s="392">
        <f t="shared" si="3"/>
        <v>400000</v>
      </c>
      <c r="I185" s="440">
        <v>400000</v>
      </c>
    </row>
    <row r="186" spans="1:9" ht="31.5">
      <c r="A186" s="153" t="s">
        <v>425</v>
      </c>
      <c r="B186" s="20" t="s">
        <v>421</v>
      </c>
      <c r="C186" s="61"/>
      <c r="D186" s="98"/>
      <c r="E186" s="98">
        <f t="shared" si="3"/>
        <v>0</v>
      </c>
      <c r="F186" s="98">
        <f t="shared" si="3"/>
        <v>400000</v>
      </c>
      <c r="G186" s="392">
        <f t="shared" si="3"/>
        <v>400000</v>
      </c>
      <c r="I186" s="440">
        <v>400000</v>
      </c>
    </row>
    <row r="187" spans="1:9" ht="63">
      <c r="A187" s="63" t="s">
        <v>673</v>
      </c>
      <c r="B187" s="21" t="s">
        <v>422</v>
      </c>
      <c r="C187" s="62">
        <v>200</v>
      </c>
      <c r="D187" s="92"/>
      <c r="E187" s="92"/>
      <c r="F187" s="135">
        <v>400000</v>
      </c>
      <c r="G187" s="393">
        <v>400000</v>
      </c>
      <c r="I187" s="440">
        <v>400000</v>
      </c>
    </row>
    <row r="188" spans="1:9" ht="31.5">
      <c r="A188" s="153" t="s">
        <v>678</v>
      </c>
      <c r="B188" s="20" t="s">
        <v>423</v>
      </c>
      <c r="C188" s="61"/>
      <c r="D188" s="98">
        <f>D190</f>
        <v>0</v>
      </c>
      <c r="E188" s="98">
        <f>E189</f>
        <v>0</v>
      </c>
      <c r="F188" s="98">
        <f>F189</f>
        <v>748421</v>
      </c>
      <c r="G188" s="392">
        <f>G189</f>
        <v>668521</v>
      </c>
      <c r="I188" s="440">
        <v>748421</v>
      </c>
    </row>
    <row r="189" spans="1:9" ht="31.5">
      <c r="A189" s="153" t="s">
        <v>915</v>
      </c>
      <c r="B189" s="20" t="s">
        <v>424</v>
      </c>
      <c r="C189" s="61"/>
      <c r="D189" s="98"/>
      <c r="E189" s="98">
        <f>SUM(E190:E192)</f>
        <v>0</v>
      </c>
      <c r="F189" s="98">
        <f>SUM(F190:F192)</f>
        <v>748421</v>
      </c>
      <c r="G189" s="392">
        <f>G190+G192</f>
        <v>668521</v>
      </c>
      <c r="I189" s="440">
        <v>748421</v>
      </c>
    </row>
    <row r="190" spans="1:9" ht="51.75" customHeight="1">
      <c r="A190" s="63" t="s">
        <v>916</v>
      </c>
      <c r="B190" s="21" t="s">
        <v>426</v>
      </c>
      <c r="C190" s="62">
        <v>200</v>
      </c>
      <c r="D190" s="92"/>
      <c r="E190" s="92"/>
      <c r="F190" s="135">
        <v>247020</v>
      </c>
      <c r="G190" s="393">
        <v>167120</v>
      </c>
      <c r="H190" s="185"/>
      <c r="I190" s="440">
        <v>247020</v>
      </c>
    </row>
    <row r="191" spans="1:9" ht="82.5" customHeight="1">
      <c r="A191" s="63" t="s">
        <v>1507</v>
      </c>
      <c r="B191" s="21" t="s">
        <v>919</v>
      </c>
      <c r="C191" s="62">
        <v>100</v>
      </c>
      <c r="D191" s="92"/>
      <c r="E191" s="92"/>
      <c r="F191" s="92">
        <v>256000</v>
      </c>
      <c r="G191" s="393"/>
      <c r="H191" s="458">
        <v>0</v>
      </c>
      <c r="I191" s="440">
        <v>256000</v>
      </c>
    </row>
    <row r="192" spans="1:9" ht="50.25" customHeight="1">
      <c r="A192" s="63" t="s">
        <v>917</v>
      </c>
      <c r="B192" s="21" t="s">
        <v>919</v>
      </c>
      <c r="C192" s="62">
        <v>200</v>
      </c>
      <c r="D192" s="92"/>
      <c r="E192" s="92"/>
      <c r="F192" s="135">
        <v>245401</v>
      </c>
      <c r="G192" s="393">
        <v>501401</v>
      </c>
      <c r="H192" s="135">
        <v>501401</v>
      </c>
      <c r="I192" s="440">
        <v>245401</v>
      </c>
    </row>
    <row r="193" spans="1:9" ht="34.5" customHeight="1">
      <c r="A193" s="152" t="s">
        <v>661</v>
      </c>
      <c r="B193" s="23" t="s">
        <v>427</v>
      </c>
      <c r="C193" s="217"/>
      <c r="D193" s="157" t="e">
        <f>D194+D209+D246</f>
        <v>#REF!</v>
      </c>
      <c r="E193" s="157">
        <f>E194+E209+E246</f>
        <v>2449652.19</v>
      </c>
      <c r="F193" s="157">
        <f>F194+F209+F246</f>
        <v>233590644.89999998</v>
      </c>
      <c r="G193" s="391">
        <f>G194+G209+G246</f>
        <v>214368866.45999998</v>
      </c>
      <c r="H193" s="185">
        <f>F193-E193</f>
        <v>231140992.70999998</v>
      </c>
      <c r="I193" s="440">
        <v>225163280.45</v>
      </c>
    </row>
    <row r="194" spans="1:9" ht="33.75" customHeight="1">
      <c r="A194" s="153" t="s">
        <v>428</v>
      </c>
      <c r="B194" s="20" t="s">
        <v>429</v>
      </c>
      <c r="C194" s="61"/>
      <c r="D194" s="98">
        <f>SUM(D196:D208)</f>
        <v>5093368</v>
      </c>
      <c r="E194" s="98">
        <f>E195</f>
        <v>0</v>
      </c>
      <c r="F194" s="98">
        <f>F195</f>
        <v>86633379.38</v>
      </c>
      <c r="G194" s="392">
        <f>G195</f>
        <v>83993711.08</v>
      </c>
      <c r="H194" s="185">
        <f>F194-E194</f>
        <v>86633379.38</v>
      </c>
      <c r="I194" s="440">
        <v>84546510.08</v>
      </c>
    </row>
    <row r="195" spans="1:9" ht="34.5" customHeight="1">
      <c r="A195" s="153" t="s">
        <v>929</v>
      </c>
      <c r="B195" s="20" t="s">
        <v>430</v>
      </c>
      <c r="C195" s="61"/>
      <c r="D195" s="98"/>
      <c r="E195" s="98">
        <f>SUM(E196:E208)</f>
        <v>0</v>
      </c>
      <c r="F195" s="98">
        <f>SUM(F196:F208)</f>
        <v>86633379.38</v>
      </c>
      <c r="G195" s="392">
        <f>SUM(G196:G208)</f>
        <v>83993711.08</v>
      </c>
      <c r="H195" s="185">
        <f>F195-E195</f>
        <v>86633379.38</v>
      </c>
      <c r="I195" s="440">
        <v>84546510.08</v>
      </c>
    </row>
    <row r="196" spans="1:9" ht="66" customHeight="1">
      <c r="A196" s="63" t="s">
        <v>431</v>
      </c>
      <c r="B196" s="21" t="s">
        <v>432</v>
      </c>
      <c r="C196" s="62">
        <v>600</v>
      </c>
      <c r="D196" s="92">
        <v>500000</v>
      </c>
      <c r="E196" s="92">
        <v>-4098</v>
      </c>
      <c r="F196" s="92">
        <v>3783583.42</v>
      </c>
      <c r="G196" s="395">
        <v>3747158.63</v>
      </c>
      <c r="I196" s="440">
        <v>3747158.63</v>
      </c>
    </row>
    <row r="197" spans="1:9" ht="97.5" customHeight="1">
      <c r="A197" s="63" t="s">
        <v>698</v>
      </c>
      <c r="B197" s="21" t="s">
        <v>706</v>
      </c>
      <c r="C197" s="62">
        <v>600</v>
      </c>
      <c r="D197" s="92"/>
      <c r="E197" s="135"/>
      <c r="F197" s="92">
        <v>16080915.61</v>
      </c>
      <c r="G197" s="395">
        <v>16080915.61</v>
      </c>
      <c r="I197" s="440">
        <v>16080915.61</v>
      </c>
    </row>
    <row r="198" spans="1:9" ht="67.5" customHeight="1">
      <c r="A198" s="63" t="s">
        <v>1149</v>
      </c>
      <c r="B198" s="21" t="s">
        <v>1144</v>
      </c>
      <c r="C198" s="62">
        <v>600</v>
      </c>
      <c r="D198" s="92"/>
      <c r="E198" s="135"/>
      <c r="F198" s="135">
        <v>3025636.54</v>
      </c>
      <c r="G198" s="393">
        <v>541760.24</v>
      </c>
      <c r="H198" s="135">
        <v>541760.24</v>
      </c>
      <c r="I198" s="440">
        <v>601760.24</v>
      </c>
    </row>
    <row r="199" spans="1:9" ht="81.75" customHeight="1">
      <c r="A199" s="63" t="s">
        <v>1370</v>
      </c>
      <c r="B199" s="21" t="s">
        <v>707</v>
      </c>
      <c r="C199" s="62">
        <v>600</v>
      </c>
      <c r="D199" s="92"/>
      <c r="E199" s="135"/>
      <c r="F199" s="92">
        <v>6831590.97</v>
      </c>
      <c r="G199" s="395">
        <v>6900121.97</v>
      </c>
      <c r="I199" s="440">
        <v>6900121.97</v>
      </c>
    </row>
    <row r="200" spans="1:9" ht="82.5" customHeight="1">
      <c r="A200" s="63" t="s">
        <v>700</v>
      </c>
      <c r="B200" s="21" t="s">
        <v>709</v>
      </c>
      <c r="C200" s="62">
        <v>600</v>
      </c>
      <c r="D200" s="92"/>
      <c r="E200" s="135"/>
      <c r="F200" s="92">
        <v>5829409.19</v>
      </c>
      <c r="G200" s="395">
        <v>6330351.98</v>
      </c>
      <c r="I200" s="440">
        <v>6330351.98</v>
      </c>
    </row>
    <row r="201" spans="1:9" ht="63">
      <c r="A201" s="63" t="s">
        <v>433</v>
      </c>
      <c r="B201" s="21" t="s">
        <v>434</v>
      </c>
      <c r="C201" s="62">
        <v>600</v>
      </c>
      <c r="D201" s="92"/>
      <c r="E201" s="135"/>
      <c r="F201" s="92">
        <v>6722185.95</v>
      </c>
      <c r="G201" s="395">
        <v>6856977.95</v>
      </c>
      <c r="I201" s="440">
        <v>6856977.95</v>
      </c>
    </row>
    <row r="202" spans="1:9" ht="66" customHeight="1">
      <c r="A202" s="63" t="s">
        <v>1150</v>
      </c>
      <c r="B202" s="21" t="s">
        <v>1145</v>
      </c>
      <c r="C202" s="62">
        <v>600</v>
      </c>
      <c r="D202" s="92"/>
      <c r="E202" s="246"/>
      <c r="F202" s="135">
        <v>510875</v>
      </c>
      <c r="G202" s="393">
        <v>257000</v>
      </c>
      <c r="I202" s="440">
        <v>274220</v>
      </c>
    </row>
    <row r="203" spans="1:9" ht="83.25" customHeight="1">
      <c r="A203" s="63" t="s">
        <v>1191</v>
      </c>
      <c r="B203" s="21" t="s">
        <v>1170</v>
      </c>
      <c r="C203" s="62">
        <v>600</v>
      </c>
      <c r="D203" s="92"/>
      <c r="E203" s="135">
        <v>4098</v>
      </c>
      <c r="F203" s="135">
        <v>62179</v>
      </c>
      <c r="G203" s="393"/>
      <c r="H203" s="454">
        <v>0</v>
      </c>
      <c r="I203" s="440">
        <v>25000</v>
      </c>
    </row>
    <row r="204" spans="1:9" ht="48.75" customHeight="1">
      <c r="A204" s="63" t="s">
        <v>1192</v>
      </c>
      <c r="B204" s="21" t="s">
        <v>1173</v>
      </c>
      <c r="C204" s="62">
        <v>600</v>
      </c>
      <c r="D204" s="92"/>
      <c r="E204" s="92"/>
      <c r="F204" s="135">
        <v>57000</v>
      </c>
      <c r="G204" s="393"/>
      <c r="I204" s="440"/>
    </row>
    <row r="205" spans="1:9" ht="79.5" customHeight="1">
      <c r="A205" s="63" t="s">
        <v>1030</v>
      </c>
      <c r="B205" s="21" t="s">
        <v>1029</v>
      </c>
      <c r="C205" s="62">
        <v>600</v>
      </c>
      <c r="D205" s="92"/>
      <c r="E205" s="92"/>
      <c r="F205" s="135"/>
      <c r="G205" s="393"/>
      <c r="I205" s="440"/>
    </row>
    <row r="206" spans="1:9" ht="126.75" customHeight="1">
      <c r="A206" s="224" t="s">
        <v>726</v>
      </c>
      <c r="B206" s="21" t="s">
        <v>436</v>
      </c>
      <c r="C206" s="62">
        <v>600</v>
      </c>
      <c r="D206" s="92">
        <v>-875880</v>
      </c>
      <c r="E206" s="92"/>
      <c r="F206" s="135">
        <v>298092</v>
      </c>
      <c r="G206" s="393">
        <v>298092</v>
      </c>
      <c r="I206" s="440">
        <v>298092</v>
      </c>
    </row>
    <row r="207" spans="1:9" ht="93" customHeight="1">
      <c r="A207" s="272" t="s">
        <v>725</v>
      </c>
      <c r="B207" s="21" t="s">
        <v>1346</v>
      </c>
      <c r="C207" s="62">
        <v>300</v>
      </c>
      <c r="D207" s="92"/>
      <c r="E207" s="92"/>
      <c r="F207" s="135">
        <v>1130892.7</v>
      </c>
      <c r="G207" s="393">
        <v>1130892.7</v>
      </c>
      <c r="I207" s="440">
        <v>1130892.7</v>
      </c>
    </row>
    <row r="208" spans="1:9" ht="127.5" customHeight="1">
      <c r="A208" s="69" t="s">
        <v>1377</v>
      </c>
      <c r="B208" s="21" t="s">
        <v>437</v>
      </c>
      <c r="C208" s="62">
        <v>600</v>
      </c>
      <c r="D208" s="92">
        <v>5469248</v>
      </c>
      <c r="E208" s="92"/>
      <c r="F208" s="92">
        <v>42301019</v>
      </c>
      <c r="G208" s="395">
        <v>41850440</v>
      </c>
      <c r="H208" s="185"/>
      <c r="I208" s="440">
        <v>42301019</v>
      </c>
    </row>
    <row r="209" spans="1:9" ht="31.5">
      <c r="A209" s="128" t="s">
        <v>438</v>
      </c>
      <c r="B209" s="20" t="s">
        <v>439</v>
      </c>
      <c r="C209" s="61"/>
      <c r="D209" s="98">
        <f>SUM(D211:D241)</f>
        <v>987111</v>
      </c>
      <c r="E209" s="98">
        <f>E210+E244</f>
        <v>2449652.19</v>
      </c>
      <c r="F209" s="98">
        <f>F210+F244</f>
        <v>140838104.2</v>
      </c>
      <c r="G209" s="392">
        <f>G210+G244</f>
        <v>124310264.06</v>
      </c>
      <c r="H209" s="185">
        <f>F209-E209</f>
        <v>138388452.01</v>
      </c>
      <c r="I209" s="440">
        <v>134551879.05</v>
      </c>
    </row>
    <row r="210" spans="1:9" ht="50.25" customHeight="1">
      <c r="A210" s="226" t="s">
        <v>947</v>
      </c>
      <c r="B210" s="20" t="s">
        <v>440</v>
      </c>
      <c r="C210" s="61"/>
      <c r="D210" s="98"/>
      <c r="E210" s="98">
        <f>SUM(E211:E243)</f>
        <v>2449652.19</v>
      </c>
      <c r="F210" s="122">
        <f>SUM(F211:F243)</f>
        <v>140686390.2</v>
      </c>
      <c r="G210" s="394">
        <f>SUM(G211:G241)</f>
        <v>124158550.06</v>
      </c>
      <c r="H210" s="185">
        <f>F210-E210</f>
        <v>138236738.01</v>
      </c>
      <c r="I210" s="440">
        <v>134400165.05</v>
      </c>
    </row>
    <row r="211" spans="1:9" ht="63">
      <c r="A211" s="69" t="s">
        <v>441</v>
      </c>
      <c r="B211" s="21" t="s">
        <v>442</v>
      </c>
      <c r="C211" s="62">
        <v>600</v>
      </c>
      <c r="D211" s="92"/>
      <c r="E211" s="92"/>
      <c r="F211" s="92">
        <v>6211199.4799999995</v>
      </c>
      <c r="G211" s="395">
        <v>6204730.76</v>
      </c>
      <c r="I211" s="440">
        <v>6204730.76</v>
      </c>
    </row>
    <row r="212" spans="1:9" ht="96.75" customHeight="1">
      <c r="A212" s="69" t="s">
        <v>702</v>
      </c>
      <c r="B212" s="21" t="s">
        <v>710</v>
      </c>
      <c r="C212" s="62">
        <v>600</v>
      </c>
      <c r="D212" s="92"/>
      <c r="E212" s="92"/>
      <c r="F212" s="92">
        <v>8414240.49</v>
      </c>
      <c r="G212" s="395">
        <v>8414240.49</v>
      </c>
      <c r="I212" s="440">
        <v>8414240.49</v>
      </c>
    </row>
    <row r="213" spans="1:9" ht="78.75">
      <c r="A213" s="69" t="s">
        <v>703</v>
      </c>
      <c r="B213" s="21" t="s">
        <v>711</v>
      </c>
      <c r="C213" s="62">
        <v>600</v>
      </c>
      <c r="D213" s="92"/>
      <c r="E213" s="92"/>
      <c r="F213" s="92">
        <v>7078129.970000001</v>
      </c>
      <c r="G213" s="395">
        <v>7229704.11</v>
      </c>
      <c r="I213" s="440">
        <v>7229704.11</v>
      </c>
    </row>
    <row r="214" spans="1:9" ht="78.75" customHeight="1">
      <c r="A214" s="69" t="s">
        <v>705</v>
      </c>
      <c r="B214" s="21" t="s">
        <v>713</v>
      </c>
      <c r="C214" s="62">
        <v>600</v>
      </c>
      <c r="D214" s="92"/>
      <c r="E214" s="162">
        <v>2840.84</v>
      </c>
      <c r="F214" s="92">
        <v>5821129.67</v>
      </c>
      <c r="G214" s="395">
        <v>6974286.92</v>
      </c>
      <c r="H214" s="185"/>
      <c r="I214" s="440">
        <v>7148726.92</v>
      </c>
    </row>
    <row r="215" spans="1:9" ht="66" customHeight="1">
      <c r="A215" s="69" t="s">
        <v>1151</v>
      </c>
      <c r="B215" s="21" t="s">
        <v>1146</v>
      </c>
      <c r="C215" s="62">
        <v>600</v>
      </c>
      <c r="D215" s="92"/>
      <c r="E215" s="162">
        <v>594191.58</v>
      </c>
      <c r="F215" s="135">
        <v>5727621.87</v>
      </c>
      <c r="G215" s="393">
        <v>780353.93</v>
      </c>
      <c r="H215" s="135">
        <v>780353.93</v>
      </c>
      <c r="I215" s="440">
        <v>3674152.8200000003</v>
      </c>
    </row>
    <row r="216" spans="1:9" ht="65.25" customHeight="1">
      <c r="A216" s="69" t="s">
        <v>1152</v>
      </c>
      <c r="B216" s="21" t="s">
        <v>1147</v>
      </c>
      <c r="C216" s="62">
        <v>600</v>
      </c>
      <c r="D216" s="92"/>
      <c r="E216" s="92"/>
      <c r="F216" s="135">
        <v>1628769.5899999999</v>
      </c>
      <c r="G216" s="393">
        <v>100000</v>
      </c>
      <c r="H216" s="135">
        <v>100000</v>
      </c>
      <c r="I216" s="440">
        <v>132547</v>
      </c>
    </row>
    <row r="217" spans="1:9" ht="79.5" customHeight="1">
      <c r="A217" s="69" t="s">
        <v>1153</v>
      </c>
      <c r="B217" s="21" t="s">
        <v>1148</v>
      </c>
      <c r="C217" s="62">
        <v>600</v>
      </c>
      <c r="D217" s="92"/>
      <c r="E217" s="92"/>
      <c r="F217" s="135">
        <v>57807</v>
      </c>
      <c r="G217" s="393">
        <v>57807</v>
      </c>
      <c r="I217" s="440">
        <v>57807</v>
      </c>
    </row>
    <row r="218" spans="1:9" ht="48.75" customHeight="1">
      <c r="A218" s="69" t="s">
        <v>1193</v>
      </c>
      <c r="B218" s="21" t="s">
        <v>1174</v>
      </c>
      <c r="C218" s="62">
        <v>600</v>
      </c>
      <c r="D218" s="92"/>
      <c r="E218" s="92"/>
      <c r="F218" s="135">
        <v>45379.58</v>
      </c>
      <c r="G218" s="393"/>
      <c r="I218" s="440">
        <v>22760</v>
      </c>
    </row>
    <row r="219" spans="1:9" ht="63">
      <c r="A219" s="154" t="s">
        <v>571</v>
      </c>
      <c r="B219" s="21" t="s">
        <v>572</v>
      </c>
      <c r="C219" s="62">
        <v>600</v>
      </c>
      <c r="D219" s="92"/>
      <c r="E219" s="92"/>
      <c r="F219" s="92">
        <v>1734542.26</v>
      </c>
      <c r="G219" s="395">
        <v>1744200</v>
      </c>
      <c r="H219" s="185"/>
      <c r="I219" s="440">
        <v>1734542.26</v>
      </c>
    </row>
    <row r="220" spans="1:9" ht="66.75" customHeight="1">
      <c r="A220" s="69" t="s">
        <v>1483</v>
      </c>
      <c r="B220" s="21" t="s">
        <v>1468</v>
      </c>
      <c r="C220" s="62">
        <v>600</v>
      </c>
      <c r="D220" s="92"/>
      <c r="E220" s="92">
        <v>-429233.33</v>
      </c>
      <c r="F220" s="92">
        <v>536540.41</v>
      </c>
      <c r="G220" s="395"/>
      <c r="H220" s="185"/>
      <c r="I220" s="440">
        <v>965773.74</v>
      </c>
    </row>
    <row r="221" spans="1:9" ht="78.75">
      <c r="A221" s="225" t="s">
        <v>993</v>
      </c>
      <c r="B221" s="21" t="s">
        <v>991</v>
      </c>
      <c r="C221" s="62">
        <v>600</v>
      </c>
      <c r="D221" s="92"/>
      <c r="E221" s="165"/>
      <c r="F221" s="135"/>
      <c r="G221" s="393"/>
      <c r="I221" s="440"/>
    </row>
    <row r="222" spans="1:9" ht="78.75">
      <c r="A222" s="69" t="s">
        <v>443</v>
      </c>
      <c r="B222" s="21" t="s">
        <v>444</v>
      </c>
      <c r="C222" s="62">
        <v>100</v>
      </c>
      <c r="D222" s="92"/>
      <c r="E222" s="92"/>
      <c r="F222" s="92">
        <v>7632675.6</v>
      </c>
      <c r="G222" s="395">
        <v>7609755.6</v>
      </c>
      <c r="H222" s="185"/>
      <c r="I222" s="440">
        <v>7632675.6</v>
      </c>
    </row>
    <row r="223" spans="1:9" ht="47.25">
      <c r="A223" s="69" t="s">
        <v>603</v>
      </c>
      <c r="B223" s="21" t="s">
        <v>444</v>
      </c>
      <c r="C223" s="62">
        <v>200</v>
      </c>
      <c r="D223" s="92">
        <v>-745000</v>
      </c>
      <c r="E223" s="92">
        <v>988.45</v>
      </c>
      <c r="F223" s="92">
        <v>10242135.18</v>
      </c>
      <c r="G223" s="395">
        <v>9971008.73</v>
      </c>
      <c r="I223" s="440">
        <v>9968008.73</v>
      </c>
    </row>
    <row r="224" spans="1:9" ht="36" customHeight="1">
      <c r="A224" s="69" t="s">
        <v>445</v>
      </c>
      <c r="B224" s="21" t="s">
        <v>444</v>
      </c>
      <c r="C224" s="62">
        <v>800</v>
      </c>
      <c r="D224" s="92"/>
      <c r="E224" s="92"/>
      <c r="F224" s="92">
        <v>232935.92</v>
      </c>
      <c r="G224" s="395">
        <v>202935.92</v>
      </c>
      <c r="I224" s="440">
        <v>232935.92</v>
      </c>
    </row>
    <row r="225" spans="1:9" ht="54.75" customHeight="1">
      <c r="A225" s="69" t="s">
        <v>1484</v>
      </c>
      <c r="B225" s="21" t="s">
        <v>1468</v>
      </c>
      <c r="C225" s="62">
        <v>200</v>
      </c>
      <c r="D225" s="92"/>
      <c r="E225" s="92">
        <v>-121887.67</v>
      </c>
      <c r="F225" s="92">
        <v>71268.59</v>
      </c>
      <c r="G225" s="395"/>
      <c r="I225" s="440">
        <v>193156.26</v>
      </c>
    </row>
    <row r="226" spans="1:9" ht="62.25" customHeight="1">
      <c r="A226" s="154" t="s">
        <v>604</v>
      </c>
      <c r="B226" s="21" t="s">
        <v>573</v>
      </c>
      <c r="C226" s="62">
        <v>200</v>
      </c>
      <c r="D226" s="92"/>
      <c r="E226" s="92"/>
      <c r="F226" s="92">
        <v>321068.44</v>
      </c>
      <c r="G226" s="395">
        <v>323000</v>
      </c>
      <c r="H226" s="185"/>
      <c r="I226" s="440">
        <v>321068.44</v>
      </c>
    </row>
    <row r="227" spans="1:9" ht="68.25" customHeight="1">
      <c r="A227" s="69" t="s">
        <v>605</v>
      </c>
      <c r="B227" s="21" t="s">
        <v>446</v>
      </c>
      <c r="C227" s="62">
        <v>200</v>
      </c>
      <c r="D227" s="92">
        <v>745000</v>
      </c>
      <c r="E227" s="92"/>
      <c r="F227" s="92">
        <v>1400000</v>
      </c>
      <c r="G227" s="395">
        <v>1400000</v>
      </c>
      <c r="I227" s="440">
        <v>1400000</v>
      </c>
    </row>
    <row r="228" spans="1:9" ht="95.25" customHeight="1">
      <c r="A228" s="69" t="s">
        <v>1467</v>
      </c>
      <c r="B228" s="21" t="s">
        <v>1466</v>
      </c>
      <c r="C228" s="62">
        <v>600</v>
      </c>
      <c r="D228" s="92"/>
      <c r="E228" s="135"/>
      <c r="F228" s="92">
        <v>2234343.03</v>
      </c>
      <c r="G228" s="395"/>
      <c r="I228" s="440">
        <v>2256684.1999999997</v>
      </c>
    </row>
    <row r="229" spans="1:9" ht="81" customHeight="1">
      <c r="A229" s="63" t="s">
        <v>1514</v>
      </c>
      <c r="B229" s="21" t="s">
        <v>1522</v>
      </c>
      <c r="C229" s="62">
        <v>600</v>
      </c>
      <c r="D229" s="92"/>
      <c r="E229" s="135"/>
      <c r="F229" s="92">
        <v>2261214.4</v>
      </c>
      <c r="G229" s="395"/>
      <c r="H229" s="478" t="s">
        <v>1523</v>
      </c>
      <c r="I229" s="440">
        <v>2261214.4</v>
      </c>
    </row>
    <row r="230" spans="1:9" ht="81" customHeight="1">
      <c r="A230" s="479" t="s">
        <v>1482</v>
      </c>
      <c r="B230" s="133" t="s">
        <v>1525</v>
      </c>
      <c r="C230" s="134">
        <v>600</v>
      </c>
      <c r="D230" s="135"/>
      <c r="E230" s="135"/>
      <c r="F230" s="135">
        <v>277387.8</v>
      </c>
      <c r="G230" s="395"/>
      <c r="H230" s="478" t="s">
        <v>1524</v>
      </c>
      <c r="I230" s="440">
        <v>277387.8</v>
      </c>
    </row>
    <row r="231" spans="1:9" ht="66" customHeight="1">
      <c r="A231" s="69" t="s">
        <v>607</v>
      </c>
      <c r="B231" s="21" t="s">
        <v>1543</v>
      </c>
      <c r="C231" s="62">
        <v>200</v>
      </c>
      <c r="D231" s="92"/>
      <c r="E231" s="135"/>
      <c r="F231" s="135">
        <v>71148</v>
      </c>
      <c r="G231" s="395"/>
      <c r="H231" s="136"/>
      <c r="I231" s="440">
        <v>71148</v>
      </c>
    </row>
    <row r="232" spans="1:9" ht="66" customHeight="1">
      <c r="A232" s="69" t="s">
        <v>607</v>
      </c>
      <c r="B232" s="21" t="s">
        <v>1543</v>
      </c>
      <c r="C232" s="62">
        <v>200</v>
      </c>
      <c r="D232" s="92"/>
      <c r="E232" s="135"/>
      <c r="F232" s="92">
        <v>83160</v>
      </c>
      <c r="G232" s="395"/>
      <c r="H232" s="136"/>
      <c r="I232" s="440">
        <v>63525</v>
      </c>
    </row>
    <row r="233" spans="1:9" ht="65.25" customHeight="1">
      <c r="A233" s="223" t="s">
        <v>1486</v>
      </c>
      <c r="B233" s="21" t="s">
        <v>1543</v>
      </c>
      <c r="C233" s="62">
        <v>600</v>
      </c>
      <c r="D233" s="92"/>
      <c r="E233" s="135"/>
      <c r="F233" s="92">
        <v>374220</v>
      </c>
      <c r="G233" s="395"/>
      <c r="H233" s="136"/>
      <c r="I233" s="440">
        <v>393855</v>
      </c>
    </row>
    <row r="234" spans="1:9" ht="81" customHeight="1">
      <c r="A234" s="63" t="s">
        <v>887</v>
      </c>
      <c r="B234" s="21" t="s">
        <v>1544</v>
      </c>
      <c r="C234" s="62">
        <v>600</v>
      </c>
      <c r="D234" s="92"/>
      <c r="E234" s="135"/>
      <c r="F234" s="92">
        <v>50820</v>
      </c>
      <c r="G234" s="395"/>
      <c r="H234" s="136"/>
      <c r="I234" s="440">
        <v>50820</v>
      </c>
    </row>
    <row r="235" spans="1:9" ht="96" customHeight="1">
      <c r="A235" s="63" t="s">
        <v>727</v>
      </c>
      <c r="B235" s="21" t="s">
        <v>447</v>
      </c>
      <c r="C235" s="62">
        <v>200</v>
      </c>
      <c r="D235" s="92">
        <v>-370500</v>
      </c>
      <c r="E235" s="135"/>
      <c r="F235" s="92">
        <v>36345</v>
      </c>
      <c r="G235" s="395">
        <v>36345</v>
      </c>
      <c r="I235" s="440">
        <v>36345</v>
      </c>
    </row>
    <row r="236" spans="1:9" ht="94.5">
      <c r="A236" s="63" t="s">
        <v>725</v>
      </c>
      <c r="B236" s="21" t="s">
        <v>615</v>
      </c>
      <c r="C236" s="62">
        <v>300</v>
      </c>
      <c r="D236" s="92"/>
      <c r="E236" s="135"/>
      <c r="F236" s="92">
        <v>86620.1</v>
      </c>
      <c r="G236" s="395">
        <v>86620.1</v>
      </c>
      <c r="I236" s="440">
        <v>86620.1</v>
      </c>
    </row>
    <row r="237" spans="1:9" ht="143.25" customHeight="1">
      <c r="A237" s="69" t="s">
        <v>1573</v>
      </c>
      <c r="B237" s="21" t="s">
        <v>1588</v>
      </c>
      <c r="C237" s="62">
        <v>100</v>
      </c>
      <c r="D237" s="92"/>
      <c r="E237" s="135"/>
      <c r="F237" s="92">
        <v>468720</v>
      </c>
      <c r="G237" s="395"/>
      <c r="I237" s="440"/>
    </row>
    <row r="238" spans="1:9" ht="126">
      <c r="A238" s="69" t="s">
        <v>1575</v>
      </c>
      <c r="B238" s="21" t="s">
        <v>1588</v>
      </c>
      <c r="C238" s="62">
        <v>600</v>
      </c>
      <c r="D238" s="92"/>
      <c r="E238" s="135"/>
      <c r="F238" s="92">
        <v>1614480</v>
      </c>
      <c r="G238" s="395"/>
      <c r="I238" s="440"/>
    </row>
    <row r="239" spans="1:9" ht="208.5" customHeight="1">
      <c r="A239" s="69" t="s">
        <v>728</v>
      </c>
      <c r="B239" s="21" t="s">
        <v>448</v>
      </c>
      <c r="C239" s="62">
        <v>100</v>
      </c>
      <c r="D239" s="92"/>
      <c r="E239" s="92"/>
      <c r="F239" s="92">
        <v>14601095.5</v>
      </c>
      <c r="G239" s="395">
        <v>14477914.25</v>
      </c>
      <c r="H239" s="185"/>
      <c r="I239" s="440">
        <v>14601095.5</v>
      </c>
    </row>
    <row r="240" spans="1:9" ht="159.75" customHeight="1">
      <c r="A240" s="69" t="s">
        <v>729</v>
      </c>
      <c r="B240" s="21" t="s">
        <v>448</v>
      </c>
      <c r="C240" s="62">
        <v>200</v>
      </c>
      <c r="D240" s="92"/>
      <c r="E240" s="92"/>
      <c r="F240" s="92">
        <v>209937</v>
      </c>
      <c r="G240" s="395">
        <v>209837</v>
      </c>
      <c r="H240" s="185"/>
      <c r="I240" s="440">
        <v>209937</v>
      </c>
    </row>
    <row r="241" spans="1:9" ht="176.25" customHeight="1">
      <c r="A241" s="69" t="s">
        <v>730</v>
      </c>
      <c r="B241" s="21" t="s">
        <v>448</v>
      </c>
      <c r="C241" s="62">
        <v>600</v>
      </c>
      <c r="D241" s="92">
        <v>1357611</v>
      </c>
      <c r="E241" s="92"/>
      <c r="F241" s="92">
        <v>58758703</v>
      </c>
      <c r="G241" s="395">
        <v>58335810.25</v>
      </c>
      <c r="H241" s="185"/>
      <c r="I241" s="440">
        <v>58758703</v>
      </c>
    </row>
    <row r="242" spans="1:9" ht="77.25" customHeight="1">
      <c r="A242" s="223" t="s">
        <v>1615</v>
      </c>
      <c r="B242" s="133" t="s">
        <v>1613</v>
      </c>
      <c r="C242" s="134">
        <v>200</v>
      </c>
      <c r="D242" s="92"/>
      <c r="E242" s="92">
        <v>329202.72</v>
      </c>
      <c r="F242" s="92">
        <v>329202.72</v>
      </c>
      <c r="G242" s="395"/>
      <c r="H242" s="185"/>
      <c r="I242" s="440"/>
    </row>
    <row r="243" spans="1:9" ht="77.25" customHeight="1">
      <c r="A243" s="223" t="s">
        <v>1616</v>
      </c>
      <c r="B243" s="133" t="s">
        <v>1613</v>
      </c>
      <c r="C243" s="134">
        <v>600</v>
      </c>
      <c r="D243" s="92"/>
      <c r="E243" s="92">
        <v>2073549.6</v>
      </c>
      <c r="F243" s="92">
        <v>2073549.6</v>
      </c>
      <c r="G243" s="395"/>
      <c r="H243" s="185"/>
      <c r="I243" s="440"/>
    </row>
    <row r="244" spans="1:9" ht="52.5" customHeight="1">
      <c r="A244" s="226" t="s">
        <v>948</v>
      </c>
      <c r="B244" s="120" t="s">
        <v>862</v>
      </c>
      <c r="C244" s="121"/>
      <c r="D244" s="122"/>
      <c r="E244" s="122">
        <f>E245</f>
        <v>0</v>
      </c>
      <c r="F244" s="122">
        <f>F245</f>
        <v>151714</v>
      </c>
      <c r="G244" s="394">
        <f>G245</f>
        <v>151714</v>
      </c>
      <c r="I244" s="440">
        <v>151714</v>
      </c>
    </row>
    <row r="245" spans="1:9" ht="63">
      <c r="A245" s="69" t="s">
        <v>997</v>
      </c>
      <c r="B245" s="21" t="s">
        <v>1008</v>
      </c>
      <c r="C245" s="62">
        <v>600</v>
      </c>
      <c r="D245" s="92"/>
      <c r="E245" s="92"/>
      <c r="F245" s="92">
        <v>151714</v>
      </c>
      <c r="G245" s="395">
        <v>151714</v>
      </c>
      <c r="I245" s="440">
        <v>151714</v>
      </c>
    </row>
    <row r="246" spans="1:9" ht="31.5">
      <c r="A246" s="128" t="s">
        <v>449</v>
      </c>
      <c r="B246" s="20" t="s">
        <v>450</v>
      </c>
      <c r="C246" s="61"/>
      <c r="D246" s="98" t="e">
        <f>D248+#REF!+D250</f>
        <v>#REF!</v>
      </c>
      <c r="E246" s="98">
        <f>E247</f>
        <v>0</v>
      </c>
      <c r="F246" s="98">
        <f>F247</f>
        <v>6119161.32</v>
      </c>
      <c r="G246" s="392">
        <f>G247</f>
        <v>6064891.319999999</v>
      </c>
      <c r="I246" s="440">
        <v>6064891.32</v>
      </c>
    </row>
    <row r="247" spans="1:9" ht="31.5">
      <c r="A247" s="128" t="s">
        <v>930</v>
      </c>
      <c r="B247" s="20" t="s">
        <v>451</v>
      </c>
      <c r="C247" s="61"/>
      <c r="D247" s="98"/>
      <c r="E247" s="98">
        <f>SUM(E248:E255)</f>
        <v>0</v>
      </c>
      <c r="F247" s="98">
        <f>SUM(F248:F255)</f>
        <v>6119161.32</v>
      </c>
      <c r="G247" s="392">
        <f>SUM(G248:G255)</f>
        <v>6064891.319999999</v>
      </c>
      <c r="H247" s="185"/>
      <c r="I247" s="440">
        <v>6064891.32</v>
      </c>
    </row>
    <row r="248" spans="1:9" ht="86.25" customHeight="1">
      <c r="A248" s="223" t="s">
        <v>452</v>
      </c>
      <c r="B248" s="133" t="s">
        <v>453</v>
      </c>
      <c r="C248" s="134">
        <v>600</v>
      </c>
      <c r="D248" s="135"/>
      <c r="E248" s="135"/>
      <c r="F248" s="92">
        <v>5390571.75</v>
      </c>
      <c r="G248" s="395">
        <v>5300230.89</v>
      </c>
      <c r="H248" s="92">
        <v>5300230.89</v>
      </c>
      <c r="I248" s="440">
        <v>5298962.75</v>
      </c>
    </row>
    <row r="249" spans="1:9" ht="83.25" customHeight="1">
      <c r="A249" s="69" t="s">
        <v>864</v>
      </c>
      <c r="B249" s="21" t="s">
        <v>865</v>
      </c>
      <c r="C249" s="62">
        <v>600</v>
      </c>
      <c r="D249" s="92"/>
      <c r="E249" s="135"/>
      <c r="F249" s="135">
        <v>7532.740000000001</v>
      </c>
      <c r="G249" s="393">
        <v>6264.6</v>
      </c>
      <c r="H249" s="135">
        <v>6264.6</v>
      </c>
      <c r="I249" s="440">
        <v>7532.740000000001</v>
      </c>
    </row>
    <row r="250" spans="1:9" ht="94.5">
      <c r="A250" s="69" t="s">
        <v>722</v>
      </c>
      <c r="B250" s="21" t="s">
        <v>454</v>
      </c>
      <c r="C250" s="62">
        <v>600</v>
      </c>
      <c r="D250" s="92">
        <v>451896</v>
      </c>
      <c r="E250" s="135"/>
      <c r="F250" s="135">
        <v>620195.83</v>
      </c>
      <c r="G250" s="393">
        <v>620195.83</v>
      </c>
      <c r="H250" s="185"/>
      <c r="I250" s="440">
        <v>620195.83</v>
      </c>
    </row>
    <row r="251" spans="1:9" ht="63.75" customHeight="1">
      <c r="A251" s="69" t="s">
        <v>1168</v>
      </c>
      <c r="B251" s="21" t="s">
        <v>1167</v>
      </c>
      <c r="C251" s="62">
        <v>600</v>
      </c>
      <c r="D251" s="92"/>
      <c r="E251" s="135"/>
      <c r="F251" s="135">
        <v>54270</v>
      </c>
      <c r="G251" s="393"/>
      <c r="I251" s="440"/>
    </row>
    <row r="252" spans="1:9" ht="66.75" customHeight="1">
      <c r="A252" s="161" t="s">
        <v>1186</v>
      </c>
      <c r="B252" s="21" t="s">
        <v>1176</v>
      </c>
      <c r="C252" s="62">
        <v>600</v>
      </c>
      <c r="D252" s="92"/>
      <c r="E252" s="135"/>
      <c r="F252" s="92">
        <v>46591</v>
      </c>
      <c r="G252" s="393"/>
      <c r="I252" s="440"/>
    </row>
    <row r="253" spans="1:9" ht="98.25" customHeight="1">
      <c r="A253" s="161" t="s">
        <v>1187</v>
      </c>
      <c r="B253" s="21" t="s">
        <v>1177</v>
      </c>
      <c r="C253" s="62">
        <v>600</v>
      </c>
      <c r="D253" s="92"/>
      <c r="E253" s="135"/>
      <c r="F253" s="135"/>
      <c r="G253" s="393"/>
      <c r="I253" s="440"/>
    </row>
    <row r="254" spans="1:9" ht="51.75" customHeight="1">
      <c r="A254" s="161" t="s">
        <v>1437</v>
      </c>
      <c r="B254" s="133" t="s">
        <v>1368</v>
      </c>
      <c r="C254" s="134">
        <v>600</v>
      </c>
      <c r="D254" s="135"/>
      <c r="E254" s="135"/>
      <c r="F254" s="135">
        <v>0</v>
      </c>
      <c r="G254" s="393">
        <v>138200</v>
      </c>
      <c r="I254" s="440">
        <v>138200</v>
      </c>
    </row>
    <row r="255" spans="1:9" ht="67.5" customHeight="1">
      <c r="A255" s="161" t="s">
        <v>1188</v>
      </c>
      <c r="B255" s="21" t="s">
        <v>1178</v>
      </c>
      <c r="C255" s="62">
        <v>600</v>
      </c>
      <c r="D255" s="92"/>
      <c r="E255" s="92"/>
      <c r="F255" s="135"/>
      <c r="G255" s="393"/>
      <c r="I255" s="440"/>
    </row>
    <row r="256" spans="1:9" ht="63">
      <c r="A256" s="213" t="s">
        <v>884</v>
      </c>
      <c r="B256" s="23" t="s">
        <v>455</v>
      </c>
      <c r="C256" s="121"/>
      <c r="D256" s="122"/>
      <c r="E256" s="157">
        <f>E257+E275+E282</f>
        <v>0</v>
      </c>
      <c r="F256" s="157">
        <f>F257+F275+F282</f>
        <v>3651425.84</v>
      </c>
      <c r="G256" s="391">
        <f>G257+G275+G282</f>
        <v>3674746.9699999997</v>
      </c>
      <c r="H256" s="185">
        <f>F256-E256</f>
        <v>3651425.84</v>
      </c>
      <c r="I256" s="440">
        <v>3651425.84</v>
      </c>
    </row>
    <row r="257" spans="1:9" ht="49.5" customHeight="1">
      <c r="A257" s="128" t="s">
        <v>463</v>
      </c>
      <c r="B257" s="20" t="s">
        <v>456</v>
      </c>
      <c r="C257" s="121"/>
      <c r="D257" s="122"/>
      <c r="E257" s="122">
        <f>E258+E265+E272</f>
        <v>0</v>
      </c>
      <c r="F257" s="122">
        <f>F258+F265+F272</f>
        <v>1246307.13</v>
      </c>
      <c r="G257" s="394">
        <f>G258+G265+G272</f>
        <v>1764462.21</v>
      </c>
      <c r="I257" s="440">
        <v>1246307.13</v>
      </c>
    </row>
    <row r="258" spans="1:9" ht="23.25" customHeight="1">
      <c r="A258" s="226" t="s">
        <v>464</v>
      </c>
      <c r="B258" s="20" t="s">
        <v>457</v>
      </c>
      <c r="C258" s="121"/>
      <c r="D258" s="122"/>
      <c r="E258" s="122">
        <f>SUM(E259:E264)</f>
        <v>0</v>
      </c>
      <c r="F258" s="122">
        <f>SUM(F259:F264)</f>
        <v>406000</v>
      </c>
      <c r="G258" s="394">
        <f>SUM(G259:G264)</f>
        <v>933500</v>
      </c>
      <c r="I258" s="440">
        <v>406000</v>
      </c>
    </row>
    <row r="259" spans="1:9" ht="65.25" customHeight="1">
      <c r="A259" s="69" t="s">
        <v>696</v>
      </c>
      <c r="B259" s="21" t="s">
        <v>1403</v>
      </c>
      <c r="C259" s="62">
        <v>600</v>
      </c>
      <c r="D259" s="92"/>
      <c r="E259" s="92"/>
      <c r="F259" s="135">
        <v>350000</v>
      </c>
      <c r="G259" s="393">
        <v>350000</v>
      </c>
      <c r="I259" s="440">
        <v>350000</v>
      </c>
    </row>
    <row r="260" spans="1:9" ht="94.5">
      <c r="A260" s="69" t="s">
        <v>743</v>
      </c>
      <c r="B260" s="21" t="s">
        <v>1404</v>
      </c>
      <c r="C260" s="62">
        <v>100</v>
      </c>
      <c r="D260" s="92"/>
      <c r="E260" s="92"/>
      <c r="F260" s="135">
        <v>56000</v>
      </c>
      <c r="G260" s="393">
        <v>56000</v>
      </c>
      <c r="I260" s="440">
        <v>56000</v>
      </c>
    </row>
    <row r="261" spans="1:9" ht="63.75" customHeight="1" hidden="1">
      <c r="A261" s="69" t="s">
        <v>607</v>
      </c>
      <c r="B261" s="21" t="s">
        <v>1405</v>
      </c>
      <c r="C261" s="62">
        <v>200</v>
      </c>
      <c r="D261" s="92"/>
      <c r="E261" s="135"/>
      <c r="F261" s="135">
        <v>0</v>
      </c>
      <c r="G261" s="393">
        <v>65500</v>
      </c>
      <c r="H261" s="185"/>
      <c r="I261" s="440">
        <v>0</v>
      </c>
    </row>
    <row r="262" spans="1:9" ht="63.75" customHeight="1" hidden="1">
      <c r="A262" s="69" t="s">
        <v>607</v>
      </c>
      <c r="B262" s="21" t="s">
        <v>1405</v>
      </c>
      <c r="C262" s="62">
        <v>200</v>
      </c>
      <c r="D262" s="92"/>
      <c r="E262" s="92"/>
      <c r="F262" s="92">
        <v>0</v>
      </c>
      <c r="G262" s="395">
        <v>57750</v>
      </c>
      <c r="H262" s="185"/>
      <c r="I262" s="440">
        <v>0</v>
      </c>
    </row>
    <row r="263" spans="1:9" ht="63.75" customHeight="1" hidden="1">
      <c r="A263" s="223" t="s">
        <v>1486</v>
      </c>
      <c r="B263" s="21" t="s">
        <v>1405</v>
      </c>
      <c r="C263" s="62">
        <v>600</v>
      </c>
      <c r="D263" s="92"/>
      <c r="E263" s="92"/>
      <c r="F263" s="92">
        <v>0</v>
      </c>
      <c r="G263" s="395">
        <v>358050</v>
      </c>
      <c r="H263" s="185"/>
      <c r="I263" s="440">
        <v>0</v>
      </c>
    </row>
    <row r="264" spans="1:9" ht="81.75" customHeight="1" hidden="1">
      <c r="A264" s="63" t="s">
        <v>887</v>
      </c>
      <c r="B264" s="21" t="s">
        <v>1406</v>
      </c>
      <c r="C264" s="62">
        <v>600</v>
      </c>
      <c r="D264" s="92"/>
      <c r="E264" s="92"/>
      <c r="F264" s="92">
        <v>0</v>
      </c>
      <c r="G264" s="395">
        <v>46200</v>
      </c>
      <c r="H264" s="185"/>
      <c r="I264" s="440">
        <v>0</v>
      </c>
    </row>
    <row r="265" spans="1:9" ht="31.5">
      <c r="A265" s="219" t="s">
        <v>374</v>
      </c>
      <c r="B265" s="120" t="s">
        <v>1407</v>
      </c>
      <c r="C265" s="121"/>
      <c r="D265" s="122"/>
      <c r="E265" s="122">
        <f>SUM(E266:E271)</f>
        <v>0</v>
      </c>
      <c r="F265" s="122">
        <f>SUM(F266:F271)</f>
        <v>816307.1299999999</v>
      </c>
      <c r="G265" s="394">
        <f>SUM(G266:G271)</f>
        <v>815962.21</v>
      </c>
      <c r="I265" s="440">
        <v>816307.1299999999</v>
      </c>
    </row>
    <row r="266" spans="1:9" ht="63">
      <c r="A266" s="63" t="s">
        <v>597</v>
      </c>
      <c r="B266" s="21" t="s">
        <v>1408</v>
      </c>
      <c r="C266" s="62">
        <v>200</v>
      </c>
      <c r="D266" s="92">
        <v>320000</v>
      </c>
      <c r="E266" s="92"/>
      <c r="F266" s="135">
        <v>350000</v>
      </c>
      <c r="G266" s="393">
        <v>350000</v>
      </c>
      <c r="I266" s="440">
        <v>350000</v>
      </c>
    </row>
    <row r="267" spans="1:9" ht="47.25">
      <c r="A267" s="63" t="s">
        <v>1061</v>
      </c>
      <c r="B267" s="21" t="s">
        <v>1409</v>
      </c>
      <c r="C267" s="62">
        <v>200</v>
      </c>
      <c r="D267" s="92"/>
      <c r="E267" s="92"/>
      <c r="F267" s="135">
        <v>10000</v>
      </c>
      <c r="G267" s="393">
        <v>10000</v>
      </c>
      <c r="I267" s="440">
        <v>10000</v>
      </c>
    </row>
    <row r="268" spans="1:9" ht="63">
      <c r="A268" s="63" t="s">
        <v>1023</v>
      </c>
      <c r="B268" s="21" t="s">
        <v>1410</v>
      </c>
      <c r="C268" s="62">
        <v>200</v>
      </c>
      <c r="D268" s="92"/>
      <c r="E268" s="92"/>
      <c r="F268" s="135">
        <v>12240</v>
      </c>
      <c r="G268" s="393">
        <v>12240</v>
      </c>
      <c r="I268" s="440">
        <v>12240</v>
      </c>
    </row>
    <row r="269" spans="1:9" ht="47.25">
      <c r="A269" s="63" t="s">
        <v>598</v>
      </c>
      <c r="B269" s="21" t="s">
        <v>1411</v>
      </c>
      <c r="C269" s="62">
        <v>200</v>
      </c>
      <c r="D269" s="92">
        <v>10975</v>
      </c>
      <c r="E269" s="92"/>
      <c r="F269" s="135">
        <v>10666.5</v>
      </c>
      <c r="G269" s="393">
        <v>10666.5</v>
      </c>
      <c r="I269" s="440">
        <v>10666.5</v>
      </c>
    </row>
    <row r="270" spans="1:9" ht="94.5">
      <c r="A270" s="63" t="s">
        <v>375</v>
      </c>
      <c r="B270" s="21" t="s">
        <v>1412</v>
      </c>
      <c r="C270" s="62">
        <v>100</v>
      </c>
      <c r="D270" s="92">
        <v>383500</v>
      </c>
      <c r="E270" s="92"/>
      <c r="F270" s="135">
        <v>417080.92</v>
      </c>
      <c r="G270" s="393">
        <v>416736</v>
      </c>
      <c r="H270" s="185"/>
      <c r="I270" s="440">
        <v>417080.92</v>
      </c>
    </row>
    <row r="271" spans="1:9" ht="63">
      <c r="A271" s="63" t="s">
        <v>599</v>
      </c>
      <c r="B271" s="21" t="s">
        <v>1412</v>
      </c>
      <c r="C271" s="62">
        <v>200</v>
      </c>
      <c r="D271" s="92">
        <v>63370</v>
      </c>
      <c r="E271" s="92"/>
      <c r="F271" s="135">
        <v>16319.71</v>
      </c>
      <c r="G271" s="393">
        <v>16319.71</v>
      </c>
      <c r="I271" s="440">
        <v>16319.71</v>
      </c>
    </row>
    <row r="272" spans="1:9" ht="31.5">
      <c r="A272" s="128" t="s">
        <v>1036</v>
      </c>
      <c r="B272" s="120" t="s">
        <v>1413</v>
      </c>
      <c r="C272" s="121"/>
      <c r="D272" s="122"/>
      <c r="E272" s="122">
        <f>SUM(E273:E274)</f>
        <v>0</v>
      </c>
      <c r="F272" s="122">
        <f>SUM(F273:F274)</f>
        <v>24000</v>
      </c>
      <c r="G272" s="394">
        <f>SUM(G273:G274)</f>
        <v>15000</v>
      </c>
      <c r="I272" s="440">
        <v>24000</v>
      </c>
    </row>
    <row r="273" spans="1:9" ht="48" customHeight="1">
      <c r="A273" s="63" t="s">
        <v>1229</v>
      </c>
      <c r="B273" s="21" t="s">
        <v>1414</v>
      </c>
      <c r="C273" s="62">
        <v>200</v>
      </c>
      <c r="D273" s="92"/>
      <c r="E273" s="92"/>
      <c r="F273" s="135">
        <v>18000</v>
      </c>
      <c r="G273" s="393">
        <v>9000</v>
      </c>
      <c r="H273" s="185"/>
      <c r="I273" s="440">
        <v>18000</v>
      </c>
    </row>
    <row r="274" spans="1:9" ht="63">
      <c r="A274" s="63" t="s">
        <v>1230</v>
      </c>
      <c r="B274" s="21" t="s">
        <v>1415</v>
      </c>
      <c r="C274" s="62">
        <v>200</v>
      </c>
      <c r="D274" s="92"/>
      <c r="E274" s="92"/>
      <c r="F274" s="135">
        <v>6000</v>
      </c>
      <c r="G274" s="393">
        <v>6000</v>
      </c>
      <c r="I274" s="440">
        <v>6000</v>
      </c>
    </row>
    <row r="275" spans="1:9" ht="31.5">
      <c r="A275" s="128" t="s">
        <v>465</v>
      </c>
      <c r="B275" s="20" t="s">
        <v>1416</v>
      </c>
      <c r="C275" s="61"/>
      <c r="D275" s="98">
        <f>D277</f>
        <v>0</v>
      </c>
      <c r="E275" s="98">
        <f>E276+E278</f>
        <v>0</v>
      </c>
      <c r="F275" s="98">
        <f>F276+F278</f>
        <v>61400</v>
      </c>
      <c r="G275" s="392">
        <f>G276+G278</f>
        <v>61400</v>
      </c>
      <c r="I275" s="440">
        <v>61400</v>
      </c>
    </row>
    <row r="276" spans="1:9" ht="35.25" customHeight="1">
      <c r="A276" s="128" t="s">
        <v>1037</v>
      </c>
      <c r="B276" s="20" t="s">
        <v>1417</v>
      </c>
      <c r="C276" s="61"/>
      <c r="D276" s="98"/>
      <c r="E276" s="98">
        <f>E277</f>
        <v>0</v>
      </c>
      <c r="F276" s="98">
        <f>F277</f>
        <v>4000</v>
      </c>
      <c r="G276" s="392">
        <f>G277</f>
        <v>4000</v>
      </c>
      <c r="I276" s="440">
        <v>4000</v>
      </c>
    </row>
    <row r="277" spans="1:9" ht="63">
      <c r="A277" s="69" t="s">
        <v>1038</v>
      </c>
      <c r="B277" s="21" t="s">
        <v>1418</v>
      </c>
      <c r="C277" s="62">
        <v>200</v>
      </c>
      <c r="D277" s="92"/>
      <c r="E277" s="92"/>
      <c r="F277" s="135">
        <v>4000</v>
      </c>
      <c r="G277" s="393">
        <v>4000</v>
      </c>
      <c r="I277" s="440">
        <v>4000</v>
      </c>
    </row>
    <row r="278" spans="1:9" ht="31.5">
      <c r="A278" s="128" t="s">
        <v>935</v>
      </c>
      <c r="B278" s="20" t="s">
        <v>1419</v>
      </c>
      <c r="C278" s="61"/>
      <c r="D278" s="92"/>
      <c r="E278" s="122">
        <f>SUM(E279:E281)</f>
        <v>0</v>
      </c>
      <c r="F278" s="122">
        <f>SUM(F279:F281)</f>
        <v>57400</v>
      </c>
      <c r="G278" s="394">
        <f>SUM(G279:G281)</f>
        <v>57400</v>
      </c>
      <c r="I278" s="440">
        <v>57400</v>
      </c>
    </row>
    <row r="279" spans="1:9" ht="94.5">
      <c r="A279" s="69" t="s">
        <v>978</v>
      </c>
      <c r="B279" s="21" t="s">
        <v>1420</v>
      </c>
      <c r="C279" s="62">
        <v>100</v>
      </c>
      <c r="D279" s="92"/>
      <c r="E279" s="92"/>
      <c r="F279" s="135">
        <v>15000</v>
      </c>
      <c r="G279" s="393">
        <v>15000</v>
      </c>
      <c r="I279" s="440">
        <v>15000</v>
      </c>
    </row>
    <row r="280" spans="1:9" ht="63">
      <c r="A280" s="69" t="s">
        <v>979</v>
      </c>
      <c r="B280" s="21" t="s">
        <v>1421</v>
      </c>
      <c r="C280" s="62">
        <v>200</v>
      </c>
      <c r="D280" s="92"/>
      <c r="E280" s="92"/>
      <c r="F280" s="135">
        <v>5000</v>
      </c>
      <c r="G280" s="393">
        <v>5000</v>
      </c>
      <c r="I280" s="440">
        <v>5000</v>
      </c>
    </row>
    <row r="281" spans="1:9" ht="63">
      <c r="A281" s="69" t="s">
        <v>946</v>
      </c>
      <c r="B281" s="21" t="s">
        <v>1422</v>
      </c>
      <c r="C281" s="62">
        <v>200</v>
      </c>
      <c r="D281" s="92"/>
      <c r="E281" s="92"/>
      <c r="F281" s="135">
        <v>37400</v>
      </c>
      <c r="G281" s="393">
        <v>37400</v>
      </c>
      <c r="I281" s="440">
        <v>37400</v>
      </c>
    </row>
    <row r="282" spans="1:9" ht="31.5">
      <c r="A282" s="128" t="s">
        <v>1013</v>
      </c>
      <c r="B282" s="20" t="s">
        <v>1423</v>
      </c>
      <c r="C282" s="61"/>
      <c r="D282" s="98">
        <f>D284</f>
        <v>0</v>
      </c>
      <c r="E282" s="98">
        <f>E283</f>
        <v>0</v>
      </c>
      <c r="F282" s="98">
        <f>F283</f>
        <v>2343718.71</v>
      </c>
      <c r="G282" s="392">
        <f>G283</f>
        <v>1848884.76</v>
      </c>
      <c r="H282" s="185">
        <f>F282-E282</f>
        <v>2343718.71</v>
      </c>
      <c r="I282" s="440">
        <v>2343718.71</v>
      </c>
    </row>
    <row r="283" spans="1:9" ht="31.5">
      <c r="A283" s="128" t="s">
        <v>1014</v>
      </c>
      <c r="B283" s="20" t="s">
        <v>1424</v>
      </c>
      <c r="C283" s="61"/>
      <c r="D283" s="98"/>
      <c r="E283" s="98">
        <f>E284+E285+E286</f>
        <v>0</v>
      </c>
      <c r="F283" s="98">
        <f>F284+F285+F286</f>
        <v>2343718.71</v>
      </c>
      <c r="G283" s="392">
        <f>G284+G285+G286</f>
        <v>1848884.76</v>
      </c>
      <c r="H283" s="185">
        <f>F283-E283</f>
        <v>2343718.71</v>
      </c>
      <c r="I283" s="440">
        <v>2343718.71</v>
      </c>
    </row>
    <row r="284" spans="1:9" ht="93" customHeight="1">
      <c r="A284" s="69" t="s">
        <v>1016</v>
      </c>
      <c r="B284" s="21" t="s">
        <v>1425</v>
      </c>
      <c r="C284" s="62">
        <v>100</v>
      </c>
      <c r="D284" s="92"/>
      <c r="E284" s="92"/>
      <c r="F284" s="135">
        <v>2263638.71</v>
      </c>
      <c r="G284" s="393">
        <v>1768804.76</v>
      </c>
      <c r="H284" s="135">
        <v>1768804.76</v>
      </c>
      <c r="I284" s="440">
        <v>2263638.71</v>
      </c>
    </row>
    <row r="285" spans="1:9" ht="47.25" customHeight="1">
      <c r="A285" s="69" t="s">
        <v>1015</v>
      </c>
      <c r="B285" s="21" t="s">
        <v>1425</v>
      </c>
      <c r="C285" s="62">
        <v>200</v>
      </c>
      <c r="D285" s="92"/>
      <c r="E285" s="92"/>
      <c r="F285" s="135">
        <v>80080</v>
      </c>
      <c r="G285" s="393">
        <v>80080</v>
      </c>
      <c r="I285" s="440">
        <v>80080</v>
      </c>
    </row>
    <row r="286" spans="1:9" ht="48" customHeight="1">
      <c r="A286" s="69" t="s">
        <v>1017</v>
      </c>
      <c r="B286" s="21" t="s">
        <v>1425</v>
      </c>
      <c r="C286" s="62">
        <v>800</v>
      </c>
      <c r="D286" s="92"/>
      <c r="E286" s="92"/>
      <c r="F286" s="92"/>
      <c r="G286" s="395"/>
      <c r="I286" s="440"/>
    </row>
    <row r="287" spans="1:9" ht="31.5">
      <c r="A287" s="213" t="s">
        <v>662</v>
      </c>
      <c r="B287" s="23" t="s">
        <v>458</v>
      </c>
      <c r="C287" s="217"/>
      <c r="D287" s="157">
        <f>D288</f>
        <v>0</v>
      </c>
      <c r="E287" s="157">
        <f>E288+E293</f>
        <v>0</v>
      </c>
      <c r="F287" s="157">
        <f>F288+F293</f>
        <v>4309040</v>
      </c>
      <c r="G287" s="391">
        <f>G288+G293</f>
        <v>4237000</v>
      </c>
      <c r="I287" s="440">
        <v>4309040</v>
      </c>
    </row>
    <row r="288" spans="1:9" ht="31.5">
      <c r="A288" s="128" t="s">
        <v>931</v>
      </c>
      <c r="B288" s="20" t="s">
        <v>459</v>
      </c>
      <c r="C288" s="61"/>
      <c r="D288" s="98">
        <f>SUM(D290:D292)</f>
        <v>0</v>
      </c>
      <c r="E288" s="98">
        <f>E289</f>
        <v>0</v>
      </c>
      <c r="F288" s="98">
        <f>F289</f>
        <v>4309040</v>
      </c>
      <c r="G288" s="392">
        <f>G289</f>
        <v>4237000</v>
      </c>
      <c r="I288" s="440">
        <v>4309040</v>
      </c>
    </row>
    <row r="289" spans="1:9" ht="31.5">
      <c r="A289" s="128" t="s">
        <v>996</v>
      </c>
      <c r="B289" s="20" t="s">
        <v>460</v>
      </c>
      <c r="C289" s="61"/>
      <c r="D289" s="98"/>
      <c r="E289" s="98">
        <f>SUM(E290:E292)</f>
        <v>0</v>
      </c>
      <c r="F289" s="98">
        <f>SUM(F290:F292)</f>
        <v>4309040</v>
      </c>
      <c r="G289" s="392">
        <f>SUM(G290:G292)</f>
        <v>4237000</v>
      </c>
      <c r="I289" s="440">
        <v>4309040</v>
      </c>
    </row>
    <row r="290" spans="1:9" ht="96.75" customHeight="1">
      <c r="A290" s="69" t="s">
        <v>547</v>
      </c>
      <c r="B290" s="21" t="s">
        <v>462</v>
      </c>
      <c r="C290" s="62">
        <v>100</v>
      </c>
      <c r="D290" s="92">
        <v>56705</v>
      </c>
      <c r="E290" s="92"/>
      <c r="F290" s="92">
        <v>3850265.8</v>
      </c>
      <c r="G290" s="395">
        <v>3850265.8</v>
      </c>
      <c r="I290" s="440">
        <v>3850265.8</v>
      </c>
    </row>
    <row r="291" spans="1:9" ht="65.25" customHeight="1">
      <c r="A291" s="69" t="s">
        <v>606</v>
      </c>
      <c r="B291" s="21" t="s">
        <v>462</v>
      </c>
      <c r="C291" s="62">
        <v>200</v>
      </c>
      <c r="D291" s="92">
        <v>-50705</v>
      </c>
      <c r="E291" s="92"/>
      <c r="F291" s="92">
        <v>458774.2</v>
      </c>
      <c r="G291" s="395">
        <v>386734.2</v>
      </c>
      <c r="H291" s="185"/>
      <c r="I291" s="440">
        <v>458774.2</v>
      </c>
    </row>
    <row r="292" spans="1:9" ht="31.5" customHeight="1">
      <c r="A292" s="69" t="s">
        <v>461</v>
      </c>
      <c r="B292" s="21" t="s">
        <v>462</v>
      </c>
      <c r="C292" s="62">
        <v>800</v>
      </c>
      <c r="D292" s="92">
        <v>-6000</v>
      </c>
      <c r="E292" s="92"/>
      <c r="F292" s="92"/>
      <c r="G292" s="395"/>
      <c r="I292" s="440"/>
    </row>
    <row r="293" spans="1:9" ht="31.5">
      <c r="A293" s="128" t="s">
        <v>1125</v>
      </c>
      <c r="B293" s="20" t="s">
        <v>1127</v>
      </c>
      <c r="C293" s="121"/>
      <c r="D293" s="122"/>
      <c r="E293" s="122">
        <f aca="true" t="shared" si="4" ref="E293:G294">E294</f>
        <v>0</v>
      </c>
      <c r="F293" s="122">
        <f t="shared" si="4"/>
        <v>0</v>
      </c>
      <c r="G293" s="394">
        <f t="shared" si="4"/>
        <v>0</v>
      </c>
      <c r="I293" s="440">
        <v>0</v>
      </c>
    </row>
    <row r="294" spans="1:9" ht="31.5">
      <c r="A294" s="128" t="s">
        <v>1126</v>
      </c>
      <c r="B294" s="20" t="s">
        <v>1128</v>
      </c>
      <c r="C294" s="121"/>
      <c r="D294" s="122"/>
      <c r="E294" s="122">
        <f t="shared" si="4"/>
        <v>0</v>
      </c>
      <c r="F294" s="122">
        <f t="shared" si="4"/>
        <v>0</v>
      </c>
      <c r="G294" s="394">
        <f t="shared" si="4"/>
        <v>0</v>
      </c>
      <c r="I294" s="440">
        <v>0</v>
      </c>
    </row>
    <row r="295" spans="1:9" ht="47.25">
      <c r="A295" s="69" t="s">
        <v>1129</v>
      </c>
      <c r="B295" s="21" t="s">
        <v>1130</v>
      </c>
      <c r="C295" s="62">
        <v>200</v>
      </c>
      <c r="D295" s="92"/>
      <c r="E295" s="92"/>
      <c r="F295" s="92"/>
      <c r="G295" s="395"/>
      <c r="I295" s="440"/>
    </row>
    <row r="296" spans="1:9" ht="47.25">
      <c r="A296" s="213" t="s">
        <v>466</v>
      </c>
      <c r="B296" s="23" t="s">
        <v>467</v>
      </c>
      <c r="C296" s="217"/>
      <c r="D296" s="157">
        <f>D297</f>
        <v>30000</v>
      </c>
      <c r="E296" s="157">
        <f>E297</f>
        <v>0</v>
      </c>
      <c r="F296" s="157">
        <f>F297</f>
        <v>8378604.1</v>
      </c>
      <c r="G296" s="391">
        <f>G297</f>
        <v>13091811.68</v>
      </c>
      <c r="H296" s="185">
        <f>F296-E296</f>
        <v>8378604.1</v>
      </c>
      <c r="I296" s="440">
        <v>8988843.35</v>
      </c>
    </row>
    <row r="297" spans="1:9" ht="15.75">
      <c r="A297" s="128" t="s">
        <v>2</v>
      </c>
      <c r="B297" s="20" t="s">
        <v>468</v>
      </c>
      <c r="C297" s="61"/>
      <c r="D297" s="98">
        <f>SUM(D23:D24)</f>
        <v>30000</v>
      </c>
      <c r="E297" s="98">
        <f>SUM(E298:E315)</f>
        <v>0</v>
      </c>
      <c r="F297" s="98">
        <f>SUM(F298:F315)</f>
        <v>8378604.1</v>
      </c>
      <c r="G297" s="392">
        <f>SUM(G298:G315)</f>
        <v>13091811.68</v>
      </c>
      <c r="H297" s="185">
        <f>F297-E297</f>
        <v>8378604.1</v>
      </c>
      <c r="I297" s="440">
        <v>8988843.35</v>
      </c>
    </row>
    <row r="298" spans="1:9" ht="34.5" customHeight="1">
      <c r="A298" s="220" t="s">
        <v>622</v>
      </c>
      <c r="B298" s="21" t="s">
        <v>471</v>
      </c>
      <c r="C298" s="62">
        <v>800</v>
      </c>
      <c r="D298" s="92"/>
      <c r="E298" s="92"/>
      <c r="F298" s="135">
        <v>44022</v>
      </c>
      <c r="G298" s="393">
        <v>44022</v>
      </c>
      <c r="I298" s="440">
        <v>44022</v>
      </c>
    </row>
    <row r="299" spans="1:9" ht="51" customHeight="1">
      <c r="A299" s="63" t="s">
        <v>609</v>
      </c>
      <c r="B299" s="21" t="s">
        <v>470</v>
      </c>
      <c r="C299" s="62">
        <v>200</v>
      </c>
      <c r="D299" s="92"/>
      <c r="E299" s="92"/>
      <c r="F299" s="135">
        <v>0</v>
      </c>
      <c r="G299" s="393">
        <v>117180</v>
      </c>
      <c r="I299" s="440">
        <v>117180</v>
      </c>
    </row>
    <row r="300" spans="1:9" ht="50.25" customHeight="1">
      <c r="A300" s="63" t="s">
        <v>472</v>
      </c>
      <c r="B300" s="21" t="s">
        <v>473</v>
      </c>
      <c r="C300" s="62">
        <v>400</v>
      </c>
      <c r="D300" s="92"/>
      <c r="E300" s="92"/>
      <c r="F300" s="135"/>
      <c r="G300" s="393"/>
      <c r="I300" s="440"/>
    </row>
    <row r="301" spans="1:9" ht="84.75" customHeight="1">
      <c r="A301" s="63" t="s">
        <v>634</v>
      </c>
      <c r="B301" s="21" t="s">
        <v>628</v>
      </c>
      <c r="C301" s="62">
        <v>200</v>
      </c>
      <c r="D301" s="92"/>
      <c r="E301" s="92"/>
      <c r="F301" s="135"/>
      <c r="G301" s="393"/>
      <c r="I301" s="440"/>
    </row>
    <row r="302" spans="1:9" ht="163.5" customHeight="1">
      <c r="A302" s="63" t="s">
        <v>1554</v>
      </c>
      <c r="B302" s="21" t="s">
        <v>1553</v>
      </c>
      <c r="C302" s="62">
        <v>200</v>
      </c>
      <c r="D302" s="92"/>
      <c r="E302" s="92"/>
      <c r="F302" s="135">
        <v>161150</v>
      </c>
      <c r="G302" s="393"/>
      <c r="I302" s="440">
        <v>161150</v>
      </c>
    </row>
    <row r="303" spans="1:9" ht="50.25" customHeight="1">
      <c r="A303" s="63" t="s">
        <v>914</v>
      </c>
      <c r="B303" s="21" t="s">
        <v>945</v>
      </c>
      <c r="C303" s="62">
        <v>200</v>
      </c>
      <c r="D303" s="92"/>
      <c r="E303" s="92"/>
      <c r="F303" s="135">
        <v>816533.33</v>
      </c>
      <c r="G303" s="393">
        <v>816533.33</v>
      </c>
      <c r="I303" s="440">
        <v>816533.33</v>
      </c>
    </row>
    <row r="304" spans="1:9" ht="66" customHeight="1">
      <c r="A304" s="63" t="s">
        <v>636</v>
      </c>
      <c r="B304" s="21" t="s">
        <v>635</v>
      </c>
      <c r="C304" s="62">
        <v>200</v>
      </c>
      <c r="D304" s="92"/>
      <c r="E304" s="92"/>
      <c r="F304" s="135">
        <v>0</v>
      </c>
      <c r="G304" s="393">
        <v>119659.25</v>
      </c>
      <c r="I304" s="440">
        <v>119659.25</v>
      </c>
    </row>
    <row r="305" spans="1:9" ht="49.5" customHeight="1">
      <c r="A305" s="63" t="s">
        <v>750</v>
      </c>
      <c r="B305" s="21" t="s">
        <v>749</v>
      </c>
      <c r="C305" s="62">
        <v>200</v>
      </c>
      <c r="D305" s="92"/>
      <c r="E305" s="92"/>
      <c r="F305" s="135"/>
      <c r="G305" s="393"/>
      <c r="I305" s="440"/>
    </row>
    <row r="306" spans="1:9" ht="51.75" customHeight="1">
      <c r="A306" s="63" t="s">
        <v>762</v>
      </c>
      <c r="B306" s="21" t="s">
        <v>761</v>
      </c>
      <c r="C306" s="62">
        <v>200</v>
      </c>
      <c r="D306" s="92"/>
      <c r="E306" s="92"/>
      <c r="F306" s="135">
        <v>0</v>
      </c>
      <c r="G306" s="393">
        <v>4289425.6</v>
      </c>
      <c r="H306" s="135">
        <v>4289425.6</v>
      </c>
      <c r="I306" s="440">
        <v>0</v>
      </c>
    </row>
    <row r="307" spans="1:9" ht="114.75" customHeight="1">
      <c r="A307" s="64" t="s">
        <v>1319</v>
      </c>
      <c r="B307" s="21" t="s">
        <v>1339</v>
      </c>
      <c r="C307" s="62">
        <v>800</v>
      </c>
      <c r="D307" s="92"/>
      <c r="E307" s="92"/>
      <c r="F307" s="135">
        <v>69684.75</v>
      </c>
      <c r="G307" s="393">
        <v>69684.75</v>
      </c>
      <c r="I307" s="440">
        <v>69684.75</v>
      </c>
    </row>
    <row r="308" spans="1:9" ht="32.25" customHeight="1">
      <c r="A308" s="221" t="s">
        <v>1337</v>
      </c>
      <c r="B308" s="21" t="s">
        <v>1379</v>
      </c>
      <c r="C308" s="62">
        <v>800</v>
      </c>
      <c r="D308" s="92"/>
      <c r="E308" s="92"/>
      <c r="F308" s="135">
        <v>380000</v>
      </c>
      <c r="G308" s="393">
        <v>380000</v>
      </c>
      <c r="I308" s="440">
        <v>380000</v>
      </c>
    </row>
    <row r="309" spans="1:9" ht="143.25" customHeight="1">
      <c r="A309" s="63" t="s">
        <v>621</v>
      </c>
      <c r="B309" s="21" t="s">
        <v>619</v>
      </c>
      <c r="C309" s="62">
        <v>800</v>
      </c>
      <c r="D309" s="92"/>
      <c r="E309" s="92"/>
      <c r="F309" s="92">
        <v>30000</v>
      </c>
      <c r="G309" s="395"/>
      <c r="I309" s="440"/>
    </row>
    <row r="310" spans="1:9" ht="83.25" customHeight="1">
      <c r="A310" s="63" t="s">
        <v>1545</v>
      </c>
      <c r="B310" s="21" t="s">
        <v>474</v>
      </c>
      <c r="C310" s="62">
        <v>200</v>
      </c>
      <c r="D310" s="92">
        <v>59850</v>
      </c>
      <c r="E310" s="92"/>
      <c r="F310" s="135">
        <v>61039.02</v>
      </c>
      <c r="G310" s="393">
        <v>79272</v>
      </c>
      <c r="I310" s="440">
        <v>61039.02</v>
      </c>
    </row>
    <row r="311" spans="1:9" ht="111" customHeight="1">
      <c r="A311" s="63" t="s">
        <v>610</v>
      </c>
      <c r="B311" s="21" t="s">
        <v>747</v>
      </c>
      <c r="C311" s="62">
        <v>200</v>
      </c>
      <c r="D311" s="92">
        <v>63180</v>
      </c>
      <c r="E311" s="92"/>
      <c r="F311" s="135">
        <v>140392</v>
      </c>
      <c r="G311" s="393">
        <v>140392</v>
      </c>
      <c r="I311" s="440">
        <v>140392</v>
      </c>
    </row>
    <row r="312" spans="1:9" ht="50.25" customHeight="1">
      <c r="A312" s="63" t="s">
        <v>475</v>
      </c>
      <c r="B312" s="21" t="s">
        <v>476</v>
      </c>
      <c r="C312" s="62">
        <v>600</v>
      </c>
      <c r="D312" s="92"/>
      <c r="E312" s="92"/>
      <c r="F312" s="92"/>
      <c r="G312" s="395"/>
      <c r="I312" s="440"/>
    </row>
    <row r="313" spans="1:9" ht="81" customHeight="1">
      <c r="A313" s="63" t="s">
        <v>918</v>
      </c>
      <c r="B313" s="21" t="s">
        <v>477</v>
      </c>
      <c r="C313" s="62">
        <v>300</v>
      </c>
      <c r="D313" s="92"/>
      <c r="E313" s="92"/>
      <c r="F313" s="92">
        <v>0</v>
      </c>
      <c r="G313" s="395">
        <v>1035000</v>
      </c>
      <c r="I313" s="440">
        <v>0</v>
      </c>
    </row>
    <row r="314" spans="1:9" ht="81" customHeight="1">
      <c r="A314" s="63" t="s">
        <v>1538</v>
      </c>
      <c r="B314" s="21" t="s">
        <v>477</v>
      </c>
      <c r="C314" s="62">
        <v>800</v>
      </c>
      <c r="D314" s="92"/>
      <c r="E314" s="92"/>
      <c r="F314" s="92">
        <v>631600</v>
      </c>
      <c r="G314" s="395"/>
      <c r="I314" s="440">
        <v>1035000</v>
      </c>
    </row>
    <row r="315" spans="1:9" ht="159" customHeight="1">
      <c r="A315" s="69" t="s">
        <v>478</v>
      </c>
      <c r="B315" s="21" t="s">
        <v>479</v>
      </c>
      <c r="C315" s="62">
        <v>600</v>
      </c>
      <c r="D315" s="92">
        <v>208560</v>
      </c>
      <c r="E315" s="92"/>
      <c r="F315" s="92">
        <v>6044183</v>
      </c>
      <c r="G315" s="395">
        <v>6000642.75</v>
      </c>
      <c r="H315" s="185"/>
      <c r="I315" s="440">
        <v>6044183</v>
      </c>
    </row>
    <row r="316" spans="1:9" ht="48.75" customHeight="1">
      <c r="A316" s="152" t="s">
        <v>480</v>
      </c>
      <c r="B316" s="23" t="s">
        <v>481</v>
      </c>
      <c r="C316" s="217"/>
      <c r="D316" s="157">
        <f aca="true" t="shared" si="5" ref="D316:G319">D317</f>
        <v>0</v>
      </c>
      <c r="E316" s="157">
        <f t="shared" si="5"/>
        <v>0</v>
      </c>
      <c r="F316" s="157">
        <f>F317</f>
        <v>9106</v>
      </c>
      <c r="G316" s="391">
        <f>G317</f>
        <v>5220</v>
      </c>
      <c r="I316" s="440">
        <v>9106</v>
      </c>
    </row>
    <row r="317" spans="1:9" ht="15.75">
      <c r="A317" s="153" t="s">
        <v>2</v>
      </c>
      <c r="B317" s="20" t="s">
        <v>482</v>
      </c>
      <c r="C317" s="61"/>
      <c r="D317" s="98">
        <f t="shared" si="5"/>
        <v>0</v>
      </c>
      <c r="E317" s="98">
        <f t="shared" si="5"/>
        <v>0</v>
      </c>
      <c r="F317" s="98">
        <f t="shared" si="5"/>
        <v>9106</v>
      </c>
      <c r="G317" s="392">
        <f t="shared" si="5"/>
        <v>5220</v>
      </c>
      <c r="I317" s="440">
        <v>9106</v>
      </c>
    </row>
    <row r="318" spans="1:9" ht="51" customHeight="1">
      <c r="A318" s="63" t="s">
        <v>1485</v>
      </c>
      <c r="B318" s="21" t="s">
        <v>483</v>
      </c>
      <c r="C318" s="62">
        <v>500</v>
      </c>
      <c r="D318" s="92"/>
      <c r="E318" s="92"/>
      <c r="F318" s="92">
        <v>9106</v>
      </c>
      <c r="G318" s="395">
        <v>5220</v>
      </c>
      <c r="H318" s="185"/>
      <c r="I318" s="440">
        <v>9106</v>
      </c>
    </row>
    <row r="319" spans="1:9" ht="48" customHeight="1">
      <c r="A319" s="152" t="s">
        <v>486</v>
      </c>
      <c r="B319" s="23" t="s">
        <v>484</v>
      </c>
      <c r="C319" s="217"/>
      <c r="D319" s="157" t="e">
        <f t="shared" si="5"/>
        <v>#REF!</v>
      </c>
      <c r="E319" s="157">
        <f t="shared" si="5"/>
        <v>0</v>
      </c>
      <c r="F319" s="157">
        <f>F320</f>
        <v>0</v>
      </c>
      <c r="G319" s="391">
        <f>G320</f>
        <v>0</v>
      </c>
      <c r="I319" s="440">
        <v>0</v>
      </c>
    </row>
    <row r="320" spans="1:9" ht="15.75">
      <c r="A320" s="153" t="s">
        <v>2</v>
      </c>
      <c r="B320" s="20" t="s">
        <v>485</v>
      </c>
      <c r="C320" s="61"/>
      <c r="D320" s="98" t="e">
        <f>#REF!</f>
        <v>#REF!</v>
      </c>
      <c r="E320" s="98">
        <f>SUM(E321:E322)</f>
        <v>0</v>
      </c>
      <c r="F320" s="98">
        <f>SUM(F321:F322)</f>
        <v>0</v>
      </c>
      <c r="G320" s="392">
        <f>SUM(G322:G322)</f>
        <v>0</v>
      </c>
      <c r="H320" s="185"/>
      <c r="I320" s="440">
        <v>0</v>
      </c>
    </row>
    <row r="321" spans="1:9" ht="81" customHeight="1">
      <c r="A321" s="479" t="s">
        <v>1482</v>
      </c>
      <c r="B321" s="133" t="s">
        <v>1465</v>
      </c>
      <c r="C321" s="134">
        <v>600</v>
      </c>
      <c r="D321" s="135"/>
      <c r="E321" s="135"/>
      <c r="F321" s="135">
        <v>0</v>
      </c>
      <c r="G321" s="393">
        <v>0</v>
      </c>
      <c r="H321" s="135">
        <v>300000</v>
      </c>
      <c r="I321" s="440">
        <v>0</v>
      </c>
    </row>
    <row r="322" spans="1:9" ht="66" customHeight="1">
      <c r="A322" s="63" t="s">
        <v>1211</v>
      </c>
      <c r="B322" s="21" t="s">
        <v>1209</v>
      </c>
      <c r="C322" s="62">
        <v>200</v>
      </c>
      <c r="D322" s="92"/>
      <c r="E322" s="92"/>
      <c r="F322" s="92"/>
      <c r="G322" s="395"/>
      <c r="I322" s="440"/>
    </row>
    <row r="323" spans="1:9" ht="15.75">
      <c r="A323" s="152" t="s">
        <v>172</v>
      </c>
      <c r="B323" s="228"/>
      <c r="C323" s="228"/>
      <c r="D323" s="229" t="e">
        <f>D11+D18+D54+D73+D86+D108+D120+D146+D184+D193+D256+D287+D296+#REF!+#REF!+#REF!+D316</f>
        <v>#REF!</v>
      </c>
      <c r="E323" s="229">
        <f>E11+E18+E54+E73+E86+E108+E120+E146+E184+E193+E256+E287+E296+E316+E319</f>
        <v>2449652.19</v>
      </c>
      <c r="F323" s="229">
        <f>F11+F18+F54+F73+F86+F108+F120+F146+F184+F193+F256+F287+F296+F316+F319</f>
        <v>415317038.29999995</v>
      </c>
      <c r="G323" s="398" t="e">
        <f>G11+G18+G54+G73+G86+G108+G120+G146+G184+G193+G256+G287+G296+G316+G319</f>
        <v>#REF!</v>
      </c>
      <c r="H323" s="185">
        <f>F323-E323</f>
        <v>412867386.10999995</v>
      </c>
      <c r="I323" s="440">
        <v>393166312.21999997</v>
      </c>
    </row>
    <row r="327" ht="12.75">
      <c r="E327" s="185"/>
    </row>
    <row r="328" ht="12.75">
      <c r="F328" s="442"/>
    </row>
  </sheetData>
  <sheetProtection/>
  <mergeCells count="9">
    <mergeCell ref="A1:F1"/>
    <mergeCell ref="A2:F2"/>
    <mergeCell ref="A3:F3"/>
    <mergeCell ref="B8:B9"/>
    <mergeCell ref="C8:C9"/>
    <mergeCell ref="A8:A9"/>
    <mergeCell ref="D8:F8"/>
    <mergeCell ref="A5:F5"/>
    <mergeCell ref="A6:F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1"/>
  <sheetViews>
    <sheetView view="pageBreakPreview" zoomScale="60" zoomScaleNormal="80" workbookViewId="0" topLeftCell="A181">
      <selection activeCell="AC155" sqref="AC155"/>
    </sheetView>
  </sheetViews>
  <sheetFormatPr defaultColWidth="9.140625" defaultRowHeight="12.75"/>
  <cols>
    <col min="1" max="1" width="73.7109375" style="123" customWidth="1"/>
    <col min="2" max="2" width="16.140625" style="123" customWidth="1"/>
    <col min="3" max="3" width="11.57421875" style="123" customWidth="1"/>
    <col min="4" max="4" width="14.7109375" style="123" hidden="1" customWidth="1"/>
    <col min="5" max="6" width="17.140625" style="123" customWidth="1"/>
    <col min="7" max="8" width="17.140625" style="388" hidden="1" customWidth="1"/>
    <col min="9" max="10" width="25.8515625" style="123" hidden="1" customWidth="1"/>
    <col min="11" max="11" width="14.57421875" style="440" hidden="1" customWidth="1"/>
    <col min="12" max="16384" width="9.140625" style="123" customWidth="1"/>
  </cols>
  <sheetData>
    <row r="1" spans="1:6" ht="18" customHeight="1">
      <c r="A1" s="521" t="s">
        <v>207</v>
      </c>
      <c r="B1" s="521"/>
      <c r="C1" s="521"/>
      <c r="D1" s="521"/>
      <c r="E1" s="521"/>
      <c r="F1" s="521"/>
    </row>
    <row r="2" spans="1:6" ht="12.75" customHeight="1">
      <c r="A2" s="521" t="s">
        <v>112</v>
      </c>
      <c r="B2" s="521"/>
      <c r="C2" s="521"/>
      <c r="D2" s="521"/>
      <c r="E2" s="521"/>
      <c r="F2" s="521"/>
    </row>
    <row r="3" spans="1:6" ht="15.75">
      <c r="A3" s="521" t="s">
        <v>1448</v>
      </c>
      <c r="B3" s="521"/>
      <c r="C3" s="521"/>
      <c r="D3" s="521"/>
      <c r="E3" s="521"/>
      <c r="F3" s="521"/>
    </row>
    <row r="4" spans="1:6" ht="87" customHeight="1">
      <c r="A4" s="534" t="s">
        <v>1265</v>
      </c>
      <c r="B4" s="534"/>
      <c r="C4" s="534"/>
      <c r="D4" s="534"/>
      <c r="E4" s="534"/>
      <c r="F4" s="534"/>
    </row>
    <row r="5" spans="1:6" ht="15.75">
      <c r="A5" s="519" t="s">
        <v>1266</v>
      </c>
      <c r="B5" s="519"/>
      <c r="C5" s="519"/>
      <c r="D5" s="519"/>
      <c r="E5" s="519"/>
      <c r="F5" s="519"/>
    </row>
    <row r="6" spans="1:2" ht="12.75">
      <c r="A6" s="4"/>
      <c r="B6" s="163"/>
    </row>
    <row r="7" spans="1:8" ht="37.5" customHeight="1">
      <c r="A7" s="548" t="s">
        <v>158</v>
      </c>
      <c r="B7" s="548" t="s">
        <v>311</v>
      </c>
      <c r="C7" s="548" t="s">
        <v>317</v>
      </c>
      <c r="D7" s="548" t="s">
        <v>209</v>
      </c>
      <c r="E7" s="548"/>
      <c r="F7" s="548"/>
      <c r="G7" s="549" t="s">
        <v>1449</v>
      </c>
      <c r="H7" s="550"/>
    </row>
    <row r="8" spans="1:8" ht="30" customHeight="1">
      <c r="A8" s="548"/>
      <c r="B8" s="548"/>
      <c r="C8" s="548"/>
      <c r="D8" s="214" t="s">
        <v>227</v>
      </c>
      <c r="E8" s="262" t="s">
        <v>641</v>
      </c>
      <c r="F8" s="263" t="s">
        <v>642</v>
      </c>
      <c r="G8" s="399" t="s">
        <v>641</v>
      </c>
      <c r="H8" s="400" t="s">
        <v>642</v>
      </c>
    </row>
    <row r="9" spans="1:8" ht="16.5" customHeight="1">
      <c r="A9" s="216">
        <v>1</v>
      </c>
      <c r="B9" s="216">
        <v>2</v>
      </c>
      <c r="C9" s="216">
        <v>3</v>
      </c>
      <c r="D9" s="216">
        <v>4</v>
      </c>
      <c r="E9" s="216">
        <v>4</v>
      </c>
      <c r="F9" s="216">
        <v>5</v>
      </c>
      <c r="G9" s="390">
        <v>4</v>
      </c>
      <c r="H9" s="390">
        <v>5</v>
      </c>
    </row>
    <row r="10" spans="1:8" ht="36" customHeight="1">
      <c r="A10" s="152" t="s">
        <v>656</v>
      </c>
      <c r="B10" s="23" t="s">
        <v>339</v>
      </c>
      <c r="C10" s="121"/>
      <c r="D10" s="157">
        <f>D11</f>
        <v>-816000</v>
      </c>
      <c r="E10" s="157">
        <f>E11+E14</f>
        <v>1000000</v>
      </c>
      <c r="F10" s="157">
        <f>F11+F14</f>
        <v>1000000</v>
      </c>
      <c r="G10" s="391">
        <f>G11+G14</f>
        <v>1000000</v>
      </c>
      <c r="H10" s="391">
        <f>H11+H14</f>
        <v>1000000</v>
      </c>
    </row>
    <row r="11" spans="1:8" ht="31.5">
      <c r="A11" s="128" t="s">
        <v>1384</v>
      </c>
      <c r="B11" s="20" t="s">
        <v>340</v>
      </c>
      <c r="C11" s="61"/>
      <c r="D11" s="98">
        <f>SUM(D13:D16)</f>
        <v>-816000</v>
      </c>
      <c r="E11" s="98">
        <f>E12</f>
        <v>700000</v>
      </c>
      <c r="F11" s="98">
        <f>F12</f>
        <v>700000</v>
      </c>
      <c r="G11" s="392">
        <f>G12</f>
        <v>700000</v>
      </c>
      <c r="H11" s="392">
        <f>H12</f>
        <v>700000</v>
      </c>
    </row>
    <row r="12" spans="1:8" ht="31.5">
      <c r="A12" s="128" t="s">
        <v>921</v>
      </c>
      <c r="B12" s="20" t="s">
        <v>341</v>
      </c>
      <c r="C12" s="61"/>
      <c r="D12" s="98"/>
      <c r="E12" s="98">
        <f>SUM(E13)</f>
        <v>700000</v>
      </c>
      <c r="F12" s="98">
        <f>SUM(F13)</f>
        <v>700000</v>
      </c>
      <c r="G12" s="392">
        <f>SUM(G13)</f>
        <v>700000</v>
      </c>
      <c r="H12" s="392">
        <f>SUM(H13)</f>
        <v>700000</v>
      </c>
    </row>
    <row r="13" spans="1:8" ht="63">
      <c r="A13" s="69" t="s">
        <v>588</v>
      </c>
      <c r="B13" s="21" t="s">
        <v>342</v>
      </c>
      <c r="C13" s="62">
        <v>200</v>
      </c>
      <c r="D13" s="92">
        <v>-360000</v>
      </c>
      <c r="E13" s="135">
        <v>700000</v>
      </c>
      <c r="F13" s="92">
        <v>700000</v>
      </c>
      <c r="G13" s="393">
        <v>700000</v>
      </c>
      <c r="H13" s="395">
        <v>700000</v>
      </c>
    </row>
    <row r="14" spans="1:8" ht="31.5">
      <c r="A14" s="128" t="s">
        <v>1385</v>
      </c>
      <c r="B14" s="20" t="s">
        <v>1387</v>
      </c>
      <c r="C14" s="61"/>
      <c r="D14" s="92"/>
      <c r="E14" s="122">
        <f aca="true" t="shared" si="0" ref="E14:H15">E15</f>
        <v>300000</v>
      </c>
      <c r="F14" s="122">
        <f t="shared" si="0"/>
        <v>300000</v>
      </c>
      <c r="G14" s="394">
        <f t="shared" si="0"/>
        <v>300000</v>
      </c>
      <c r="H14" s="394">
        <f t="shared" si="0"/>
        <v>300000</v>
      </c>
    </row>
    <row r="15" spans="1:8" ht="31.5">
      <c r="A15" s="128" t="s">
        <v>896</v>
      </c>
      <c r="B15" s="20" t="s">
        <v>1386</v>
      </c>
      <c r="C15" s="61"/>
      <c r="D15" s="92"/>
      <c r="E15" s="122">
        <f t="shared" si="0"/>
        <v>300000</v>
      </c>
      <c r="F15" s="122">
        <f t="shared" si="0"/>
        <v>300000</v>
      </c>
      <c r="G15" s="394">
        <f t="shared" si="0"/>
        <v>300000</v>
      </c>
      <c r="H15" s="394">
        <f t="shared" si="0"/>
        <v>300000</v>
      </c>
    </row>
    <row r="16" spans="1:8" ht="63" customHeight="1">
      <c r="A16" s="69" t="s">
        <v>589</v>
      </c>
      <c r="B16" s="21" t="s">
        <v>1388</v>
      </c>
      <c r="C16" s="62">
        <v>200</v>
      </c>
      <c r="D16" s="92">
        <v>-456000</v>
      </c>
      <c r="E16" s="135">
        <v>300000</v>
      </c>
      <c r="F16" s="92">
        <v>300000</v>
      </c>
      <c r="G16" s="393">
        <v>300000</v>
      </c>
      <c r="H16" s="395">
        <v>300000</v>
      </c>
    </row>
    <row r="17" spans="1:8" ht="31.5">
      <c r="A17" s="152" t="s">
        <v>883</v>
      </c>
      <c r="B17" s="23" t="s">
        <v>343</v>
      </c>
      <c r="C17" s="217"/>
      <c r="D17" s="157" t="e">
        <f>D18+D24+#REF!+#REF!+#REF!+#REF!</f>
        <v>#REF!</v>
      </c>
      <c r="E17" s="157">
        <f>E18+E24+E46+E49</f>
        <v>40612436.20999999</v>
      </c>
      <c r="F17" s="157">
        <f>F18+F24+F46+F49</f>
        <v>40153257.68</v>
      </c>
      <c r="G17" s="391">
        <f>G18+G24+G46+G49</f>
        <v>40612436.20999999</v>
      </c>
      <c r="H17" s="391">
        <f>H18+H24+H46+H49</f>
        <v>40153257.68</v>
      </c>
    </row>
    <row r="18" spans="1:8" ht="31.5">
      <c r="A18" s="153" t="s">
        <v>344</v>
      </c>
      <c r="B18" s="20" t="s">
        <v>345</v>
      </c>
      <c r="C18" s="61"/>
      <c r="D18" s="98">
        <f>SUM(D20:D20)</f>
        <v>-47100</v>
      </c>
      <c r="E18" s="98">
        <f>E19+E21</f>
        <v>1335753.76</v>
      </c>
      <c r="F18" s="98">
        <f>F19+F21</f>
        <v>1335753.76</v>
      </c>
      <c r="G18" s="392">
        <f>G19+G21</f>
        <v>1335753.76</v>
      </c>
      <c r="H18" s="392">
        <f>H19+H21</f>
        <v>1335753.76</v>
      </c>
    </row>
    <row r="19" spans="1:8" ht="31.5">
      <c r="A19" s="153" t="s">
        <v>346</v>
      </c>
      <c r="B19" s="20" t="s">
        <v>347</v>
      </c>
      <c r="C19" s="61"/>
      <c r="D19" s="98"/>
      <c r="E19" s="98">
        <f>SUM(E20:E20)</f>
        <v>81200</v>
      </c>
      <c r="F19" s="98">
        <f>SUM(F20:F20)</f>
        <v>81200</v>
      </c>
      <c r="G19" s="392">
        <f>SUM(G20:G20)</f>
        <v>81200</v>
      </c>
      <c r="H19" s="392">
        <f>SUM(H20:H20)</f>
        <v>81200</v>
      </c>
    </row>
    <row r="20" spans="1:8" ht="94.5">
      <c r="A20" s="64" t="s">
        <v>949</v>
      </c>
      <c r="B20" s="21" t="s">
        <v>348</v>
      </c>
      <c r="C20" s="62">
        <v>200</v>
      </c>
      <c r="D20" s="92">
        <v>-47100</v>
      </c>
      <c r="E20" s="135">
        <v>81200</v>
      </c>
      <c r="F20" s="92">
        <v>81200</v>
      </c>
      <c r="G20" s="393">
        <v>81200</v>
      </c>
      <c r="H20" s="395">
        <v>81200</v>
      </c>
    </row>
    <row r="21" spans="1:8" ht="31.5">
      <c r="A21" s="218" t="s">
        <v>902</v>
      </c>
      <c r="B21" s="120" t="s">
        <v>897</v>
      </c>
      <c r="C21" s="121"/>
      <c r="D21" s="122"/>
      <c r="E21" s="122">
        <f>SUM(E22:E23)</f>
        <v>1254553.76</v>
      </c>
      <c r="F21" s="122">
        <f>SUM(F22:F23)</f>
        <v>1254553.76</v>
      </c>
      <c r="G21" s="394">
        <f>SUM(G22:G23)</f>
        <v>1254553.76</v>
      </c>
      <c r="H21" s="394">
        <f>SUM(H22:H23)</f>
        <v>1254553.76</v>
      </c>
    </row>
    <row r="22" spans="1:8" ht="63">
      <c r="A22" s="63" t="s">
        <v>608</v>
      </c>
      <c r="B22" s="21" t="s">
        <v>898</v>
      </c>
      <c r="C22" s="62">
        <v>200</v>
      </c>
      <c r="D22" s="92"/>
      <c r="E22" s="135">
        <v>18540.2</v>
      </c>
      <c r="F22" s="92">
        <v>18540.2</v>
      </c>
      <c r="G22" s="393">
        <v>18540.2</v>
      </c>
      <c r="H22" s="395">
        <v>18540.2</v>
      </c>
    </row>
    <row r="23" spans="1:8" ht="51" customHeight="1">
      <c r="A23" s="63" t="s">
        <v>469</v>
      </c>
      <c r="B23" s="21" t="s">
        <v>898</v>
      </c>
      <c r="C23" s="62">
        <v>300</v>
      </c>
      <c r="D23" s="92">
        <v>30000</v>
      </c>
      <c r="E23" s="135">
        <v>1236013.56</v>
      </c>
      <c r="F23" s="92">
        <v>1236013.56</v>
      </c>
      <c r="G23" s="393">
        <v>1236013.56</v>
      </c>
      <c r="H23" s="395">
        <v>1236013.56</v>
      </c>
    </row>
    <row r="24" spans="1:8" ht="31.5">
      <c r="A24" s="153" t="s">
        <v>349</v>
      </c>
      <c r="B24" s="20" t="s">
        <v>350</v>
      </c>
      <c r="C24" s="61"/>
      <c r="D24" s="98" t="e">
        <f>SUM(D28:D263)</f>
        <v>#REF!</v>
      </c>
      <c r="E24" s="98">
        <f>E25+E27+E44</f>
        <v>31200244.459999993</v>
      </c>
      <c r="F24" s="98">
        <f>F25+F27+F44</f>
        <v>31062766.529999997</v>
      </c>
      <c r="G24" s="392">
        <f>G25+G27+G44</f>
        <v>31200244.459999993</v>
      </c>
      <c r="H24" s="392">
        <f>H25+H27+H44</f>
        <v>31062766.529999997</v>
      </c>
    </row>
    <row r="25" spans="1:8" ht="47.25">
      <c r="A25" s="153" t="s">
        <v>351</v>
      </c>
      <c r="B25" s="20" t="s">
        <v>352</v>
      </c>
      <c r="C25" s="61"/>
      <c r="D25" s="98"/>
      <c r="E25" s="98">
        <f>E26</f>
        <v>1298844</v>
      </c>
      <c r="F25" s="98">
        <f>F26</f>
        <v>1298844</v>
      </c>
      <c r="G25" s="392">
        <f>G26</f>
        <v>1298844</v>
      </c>
      <c r="H25" s="392">
        <f>H26</f>
        <v>1298844</v>
      </c>
    </row>
    <row r="26" spans="1:8" ht="66.75" customHeight="1">
      <c r="A26" s="63" t="s">
        <v>353</v>
      </c>
      <c r="B26" s="21" t="s">
        <v>354</v>
      </c>
      <c r="C26" s="62">
        <v>100</v>
      </c>
      <c r="D26" s="92">
        <v>1001205</v>
      </c>
      <c r="E26" s="92">
        <v>1298844</v>
      </c>
      <c r="F26" s="92">
        <v>1298844</v>
      </c>
      <c r="G26" s="395">
        <v>1298844</v>
      </c>
      <c r="H26" s="395">
        <v>1298844</v>
      </c>
    </row>
    <row r="27" spans="1:10" ht="78.75">
      <c r="A27" s="219" t="s">
        <v>995</v>
      </c>
      <c r="B27" s="120" t="s">
        <v>355</v>
      </c>
      <c r="C27" s="121"/>
      <c r="D27" s="122"/>
      <c r="E27" s="122">
        <f>SUM(E28:E43)</f>
        <v>29338526.059999995</v>
      </c>
      <c r="F27" s="122">
        <f>SUM(F28:F43)</f>
        <v>29216848.529999997</v>
      </c>
      <c r="G27" s="394">
        <f>SUM(G28:G43)</f>
        <v>29338526.059999995</v>
      </c>
      <c r="H27" s="394">
        <f>SUM(H28:H43)</f>
        <v>29216848.529999997</v>
      </c>
      <c r="J27" s="480"/>
    </row>
    <row r="28" spans="1:8" ht="66" customHeight="1">
      <c r="A28" s="63" t="s">
        <v>760</v>
      </c>
      <c r="B28" s="21" t="s">
        <v>357</v>
      </c>
      <c r="C28" s="62">
        <v>100</v>
      </c>
      <c r="D28" s="92">
        <v>15078984</v>
      </c>
      <c r="E28" s="92">
        <v>19682854.39</v>
      </c>
      <c r="F28" s="92">
        <v>19682854.39</v>
      </c>
      <c r="G28" s="395">
        <v>19682854.39</v>
      </c>
      <c r="H28" s="395">
        <v>19682854.39</v>
      </c>
    </row>
    <row r="29" spans="1:8" ht="47.25">
      <c r="A29" s="63" t="s">
        <v>590</v>
      </c>
      <c r="B29" s="21" t="s">
        <v>357</v>
      </c>
      <c r="C29" s="62">
        <v>200</v>
      </c>
      <c r="D29" s="92">
        <v>5279911</v>
      </c>
      <c r="E29" s="92">
        <v>1584458.56</v>
      </c>
      <c r="F29" s="92">
        <v>1475281.03</v>
      </c>
      <c r="G29" s="395">
        <v>1584458.56</v>
      </c>
      <c r="H29" s="395">
        <v>1475281.03</v>
      </c>
    </row>
    <row r="30" spans="1:8" ht="31.5">
      <c r="A30" s="63" t="s">
        <v>1019</v>
      </c>
      <c r="B30" s="21" t="s">
        <v>357</v>
      </c>
      <c r="C30" s="62">
        <v>300</v>
      </c>
      <c r="D30" s="92"/>
      <c r="E30" s="92">
        <v>0</v>
      </c>
      <c r="F30" s="92">
        <v>0</v>
      </c>
      <c r="G30" s="395">
        <v>0</v>
      </c>
      <c r="H30" s="395">
        <v>0</v>
      </c>
    </row>
    <row r="31" spans="1:8" ht="31.5">
      <c r="A31" s="63" t="s">
        <v>356</v>
      </c>
      <c r="B31" s="21" t="s">
        <v>357</v>
      </c>
      <c r="C31" s="62">
        <v>800</v>
      </c>
      <c r="D31" s="92">
        <v>257000</v>
      </c>
      <c r="E31" s="92">
        <v>58000</v>
      </c>
      <c r="F31" s="92">
        <v>58000</v>
      </c>
      <c r="G31" s="395">
        <v>58000</v>
      </c>
      <c r="H31" s="395">
        <v>58000</v>
      </c>
    </row>
    <row r="32" spans="1:8" ht="78.75">
      <c r="A32" s="63" t="s">
        <v>975</v>
      </c>
      <c r="B32" s="21" t="s">
        <v>559</v>
      </c>
      <c r="C32" s="62">
        <v>100</v>
      </c>
      <c r="D32" s="92"/>
      <c r="E32" s="92">
        <v>489343.68</v>
      </c>
      <c r="F32" s="92">
        <v>489343.68</v>
      </c>
      <c r="G32" s="395">
        <v>489343.68</v>
      </c>
      <c r="H32" s="395">
        <v>489343.68</v>
      </c>
    </row>
    <row r="33" spans="1:8" ht="66.75" customHeight="1">
      <c r="A33" s="63" t="s">
        <v>358</v>
      </c>
      <c r="B33" s="21" t="s">
        <v>359</v>
      </c>
      <c r="C33" s="62">
        <v>100</v>
      </c>
      <c r="D33" s="92">
        <v>644418</v>
      </c>
      <c r="E33" s="92">
        <v>237904.56</v>
      </c>
      <c r="F33" s="92">
        <v>237904.56</v>
      </c>
      <c r="G33" s="395">
        <v>237904.56</v>
      </c>
      <c r="H33" s="395">
        <v>237904.56</v>
      </c>
    </row>
    <row r="34" spans="1:8" ht="47.25">
      <c r="A34" s="63" t="s">
        <v>591</v>
      </c>
      <c r="B34" s="21" t="s">
        <v>359</v>
      </c>
      <c r="C34" s="62">
        <v>200</v>
      </c>
      <c r="D34" s="92">
        <v>422600</v>
      </c>
      <c r="E34" s="92">
        <v>520479</v>
      </c>
      <c r="F34" s="92">
        <v>520479</v>
      </c>
      <c r="G34" s="395">
        <v>520479</v>
      </c>
      <c r="H34" s="395">
        <v>520479</v>
      </c>
    </row>
    <row r="35" spans="1:8" ht="31.5">
      <c r="A35" s="63" t="s">
        <v>939</v>
      </c>
      <c r="B35" s="21" t="s">
        <v>359</v>
      </c>
      <c r="C35" s="62">
        <v>300</v>
      </c>
      <c r="D35" s="92"/>
      <c r="E35" s="92">
        <v>18130</v>
      </c>
      <c r="F35" s="92">
        <v>18130</v>
      </c>
      <c r="G35" s="395">
        <v>18130</v>
      </c>
      <c r="H35" s="395">
        <v>18130</v>
      </c>
    </row>
    <row r="36" spans="1:8" ht="78.75">
      <c r="A36" s="63" t="s">
        <v>546</v>
      </c>
      <c r="B36" s="21" t="s">
        <v>361</v>
      </c>
      <c r="C36" s="62">
        <v>100</v>
      </c>
      <c r="D36" s="92">
        <v>3118930</v>
      </c>
      <c r="E36" s="236">
        <v>4278731.61</v>
      </c>
      <c r="F36" s="236">
        <v>4278731.61</v>
      </c>
      <c r="G36" s="397">
        <v>4278731.61</v>
      </c>
      <c r="H36" s="397">
        <v>4278731.61</v>
      </c>
    </row>
    <row r="37" spans="1:8" ht="47.25">
      <c r="A37" s="63" t="s">
        <v>592</v>
      </c>
      <c r="B37" s="21" t="s">
        <v>361</v>
      </c>
      <c r="C37" s="62">
        <v>200</v>
      </c>
      <c r="D37" s="92">
        <v>266570</v>
      </c>
      <c r="E37" s="135">
        <v>784950.65</v>
      </c>
      <c r="F37" s="135">
        <f>784950.65-12500</f>
        <v>772450.65</v>
      </c>
      <c r="G37" s="393">
        <v>784950.65</v>
      </c>
      <c r="H37" s="393">
        <f>784950.65-12500</f>
        <v>772450.65</v>
      </c>
    </row>
    <row r="38" spans="1:8" ht="33" customHeight="1">
      <c r="A38" s="63" t="s">
        <v>360</v>
      </c>
      <c r="B38" s="21" t="s">
        <v>361</v>
      </c>
      <c r="C38" s="62">
        <v>800</v>
      </c>
      <c r="D38" s="92"/>
      <c r="E38" s="92"/>
      <c r="F38" s="92"/>
      <c r="G38" s="395"/>
      <c r="H38" s="395"/>
    </row>
    <row r="39" spans="1:8" ht="78.75">
      <c r="A39" s="63" t="s">
        <v>566</v>
      </c>
      <c r="B39" s="21" t="s">
        <v>363</v>
      </c>
      <c r="C39" s="62">
        <v>100</v>
      </c>
      <c r="D39" s="92">
        <v>1400000</v>
      </c>
      <c r="E39" s="92">
        <v>1150297.21</v>
      </c>
      <c r="F39" s="92">
        <v>1150297.21</v>
      </c>
      <c r="G39" s="395">
        <v>1150297.21</v>
      </c>
      <c r="H39" s="395">
        <v>1150297.21</v>
      </c>
    </row>
    <row r="40" spans="1:8" ht="47.25">
      <c r="A40" s="63" t="s">
        <v>593</v>
      </c>
      <c r="B40" s="21" t="s">
        <v>363</v>
      </c>
      <c r="C40" s="62">
        <v>200</v>
      </c>
      <c r="D40" s="92"/>
      <c r="E40" s="92">
        <v>227576.4</v>
      </c>
      <c r="F40" s="92">
        <v>227576.4</v>
      </c>
      <c r="G40" s="395">
        <v>227576.4</v>
      </c>
      <c r="H40" s="395">
        <v>227576.4</v>
      </c>
    </row>
    <row r="41" spans="1:8" ht="63">
      <c r="A41" s="63" t="s">
        <v>594</v>
      </c>
      <c r="B41" s="21" t="s">
        <v>364</v>
      </c>
      <c r="C41" s="62">
        <v>200</v>
      </c>
      <c r="D41" s="92"/>
      <c r="E41" s="92"/>
      <c r="F41" s="92"/>
      <c r="G41" s="395"/>
      <c r="H41" s="395"/>
    </row>
    <row r="42" spans="1:8" ht="50.25" customHeight="1">
      <c r="A42" s="221" t="s">
        <v>618</v>
      </c>
      <c r="B42" s="21" t="s">
        <v>1338</v>
      </c>
      <c r="C42" s="62">
        <v>300</v>
      </c>
      <c r="D42" s="92"/>
      <c r="E42" s="135">
        <v>9000</v>
      </c>
      <c r="F42" s="92">
        <v>9000</v>
      </c>
      <c r="G42" s="393">
        <v>9000</v>
      </c>
      <c r="H42" s="395">
        <v>9000</v>
      </c>
    </row>
    <row r="43" spans="1:8" ht="51" customHeight="1">
      <c r="A43" s="63" t="s">
        <v>595</v>
      </c>
      <c r="B43" s="21" t="s">
        <v>365</v>
      </c>
      <c r="C43" s="62">
        <v>200</v>
      </c>
      <c r="D43" s="92">
        <v>302040</v>
      </c>
      <c r="E43" s="135">
        <v>296800</v>
      </c>
      <c r="F43" s="92">
        <v>296800</v>
      </c>
      <c r="G43" s="393">
        <v>296800</v>
      </c>
      <c r="H43" s="395">
        <v>296800</v>
      </c>
    </row>
    <row r="44" spans="1:8" ht="15.75">
      <c r="A44" s="219" t="s">
        <v>366</v>
      </c>
      <c r="B44" s="120" t="s">
        <v>367</v>
      </c>
      <c r="C44" s="121"/>
      <c r="D44" s="122"/>
      <c r="E44" s="122">
        <f>E45</f>
        <v>562874.4</v>
      </c>
      <c r="F44" s="122">
        <f>F45</f>
        <v>547074</v>
      </c>
      <c r="G44" s="394">
        <f>G45</f>
        <v>562874.4</v>
      </c>
      <c r="H44" s="394">
        <f>H45</f>
        <v>547074</v>
      </c>
    </row>
    <row r="45" spans="1:8" ht="50.25" customHeight="1">
      <c r="A45" s="63" t="s">
        <v>596</v>
      </c>
      <c r="B45" s="21" t="s">
        <v>368</v>
      </c>
      <c r="C45" s="62">
        <v>200</v>
      </c>
      <c r="D45" s="92">
        <v>400000</v>
      </c>
      <c r="E45" s="135">
        <v>562874.4</v>
      </c>
      <c r="F45" s="92">
        <v>547074</v>
      </c>
      <c r="G45" s="393">
        <v>562874.4</v>
      </c>
      <c r="H45" s="395">
        <v>547074</v>
      </c>
    </row>
    <row r="46" spans="1:8" ht="31.5">
      <c r="A46" s="219" t="s">
        <v>369</v>
      </c>
      <c r="B46" s="120" t="s">
        <v>371</v>
      </c>
      <c r="C46" s="121"/>
      <c r="D46" s="122"/>
      <c r="E46" s="122">
        <f aca="true" t="shared" si="1" ref="E46:H47">E47</f>
        <v>292660.23</v>
      </c>
      <c r="F46" s="122">
        <f t="shared" si="1"/>
        <v>190509.22</v>
      </c>
      <c r="G46" s="394">
        <f t="shared" si="1"/>
        <v>292660.23</v>
      </c>
      <c r="H46" s="394">
        <f t="shared" si="1"/>
        <v>190509.22</v>
      </c>
    </row>
    <row r="47" spans="1:8" ht="48" customHeight="1">
      <c r="A47" s="219" t="s">
        <v>370</v>
      </c>
      <c r="B47" s="120" t="s">
        <v>372</v>
      </c>
      <c r="C47" s="121"/>
      <c r="D47" s="122"/>
      <c r="E47" s="122">
        <f t="shared" si="1"/>
        <v>292660.23</v>
      </c>
      <c r="F47" s="122">
        <f t="shared" si="1"/>
        <v>190509.22</v>
      </c>
      <c r="G47" s="394">
        <f t="shared" si="1"/>
        <v>292660.23</v>
      </c>
      <c r="H47" s="394">
        <f t="shared" si="1"/>
        <v>190509.22</v>
      </c>
    </row>
    <row r="48" spans="1:8" ht="78.75" customHeight="1">
      <c r="A48" s="63" t="s">
        <v>999</v>
      </c>
      <c r="B48" s="21" t="s">
        <v>373</v>
      </c>
      <c r="C48" s="62">
        <v>200</v>
      </c>
      <c r="D48" s="92"/>
      <c r="E48" s="135">
        <v>292660.23</v>
      </c>
      <c r="F48" s="92">
        <v>190509.22</v>
      </c>
      <c r="G48" s="393">
        <v>292660.23</v>
      </c>
      <c r="H48" s="395">
        <v>190509.22</v>
      </c>
    </row>
    <row r="49" spans="1:8" ht="31.5">
      <c r="A49" s="219" t="s">
        <v>940</v>
      </c>
      <c r="B49" s="120" t="s">
        <v>899</v>
      </c>
      <c r="C49" s="121"/>
      <c r="D49" s="92"/>
      <c r="E49" s="122">
        <f>E50</f>
        <v>7783777.76</v>
      </c>
      <c r="F49" s="122">
        <f>F50</f>
        <v>7564228.17</v>
      </c>
      <c r="G49" s="394">
        <f>G50</f>
        <v>7783777.76</v>
      </c>
      <c r="H49" s="394">
        <f>H50</f>
        <v>7564228.17</v>
      </c>
    </row>
    <row r="50" spans="1:8" ht="31.5">
      <c r="A50" s="219" t="s">
        <v>920</v>
      </c>
      <c r="B50" s="120" t="s">
        <v>900</v>
      </c>
      <c r="C50" s="121"/>
      <c r="D50" s="92"/>
      <c r="E50" s="122">
        <f>SUM(E51:E53)</f>
        <v>7783777.76</v>
      </c>
      <c r="F50" s="122">
        <f>SUM(F51:F53)</f>
        <v>7564228.17</v>
      </c>
      <c r="G50" s="394">
        <f>SUM(G51:G53)</f>
        <v>7783777.76</v>
      </c>
      <c r="H50" s="394">
        <f>SUM(H51:H53)</f>
        <v>7564228.17</v>
      </c>
    </row>
    <row r="51" spans="1:8" ht="78.75">
      <c r="A51" s="124" t="s">
        <v>966</v>
      </c>
      <c r="B51" s="22" t="s">
        <v>901</v>
      </c>
      <c r="C51" s="96">
        <v>100</v>
      </c>
      <c r="D51" s="97"/>
      <c r="E51" s="135">
        <v>3756619</v>
      </c>
      <c r="F51" s="97">
        <v>3756619</v>
      </c>
      <c r="G51" s="393">
        <v>3756619</v>
      </c>
      <c r="H51" s="396">
        <v>3756619</v>
      </c>
    </row>
    <row r="52" spans="1:8" ht="47.25">
      <c r="A52" s="124" t="s">
        <v>964</v>
      </c>
      <c r="B52" s="22" t="s">
        <v>901</v>
      </c>
      <c r="C52" s="62">
        <v>200</v>
      </c>
      <c r="D52" s="92"/>
      <c r="E52" s="135">
        <v>3895158.76</v>
      </c>
      <c r="F52" s="92">
        <v>3675609.17</v>
      </c>
      <c r="G52" s="393">
        <v>3895158.76</v>
      </c>
      <c r="H52" s="395">
        <v>3675609.17</v>
      </c>
    </row>
    <row r="53" spans="1:8" ht="31.5">
      <c r="A53" s="124" t="s">
        <v>965</v>
      </c>
      <c r="B53" s="22" t="s">
        <v>901</v>
      </c>
      <c r="C53" s="62">
        <v>800</v>
      </c>
      <c r="D53" s="92"/>
      <c r="E53" s="135">
        <v>132000</v>
      </c>
      <c r="F53" s="92">
        <v>132000</v>
      </c>
      <c r="G53" s="393">
        <v>132000</v>
      </c>
      <c r="H53" s="395">
        <v>132000</v>
      </c>
    </row>
    <row r="54" spans="1:8" ht="31.5">
      <c r="A54" s="506" t="s">
        <v>657</v>
      </c>
      <c r="B54" s="23" t="s">
        <v>376</v>
      </c>
      <c r="C54" s="217"/>
      <c r="D54" s="157">
        <f>D55</f>
        <v>-1714607.6</v>
      </c>
      <c r="E54" s="157">
        <f>E55+E64+E67</f>
        <v>15750152.76</v>
      </c>
      <c r="F54" s="157">
        <f>F55+F64+F67</f>
        <v>16213302.82</v>
      </c>
      <c r="G54" s="391">
        <f>G55+G64+G67</f>
        <v>8159637.800000001</v>
      </c>
      <c r="H54" s="391">
        <f>H55+H64+H67</f>
        <v>8159637.800000001</v>
      </c>
    </row>
    <row r="55" spans="1:8" ht="31.5">
      <c r="A55" s="218" t="s">
        <v>904</v>
      </c>
      <c r="B55" s="20" t="s">
        <v>377</v>
      </c>
      <c r="C55" s="61"/>
      <c r="D55" s="98">
        <f>SUM(D57:D62)</f>
        <v>-1714607.6</v>
      </c>
      <c r="E55" s="98">
        <f>E56</f>
        <v>15680152.76</v>
      </c>
      <c r="F55" s="98">
        <f>F56</f>
        <v>16143302.82</v>
      </c>
      <c r="G55" s="392">
        <f>G56</f>
        <v>8089637.800000001</v>
      </c>
      <c r="H55" s="392">
        <f>H56</f>
        <v>8089637.800000001</v>
      </c>
    </row>
    <row r="56" spans="1:8" ht="31.5">
      <c r="A56" s="218" t="s">
        <v>903</v>
      </c>
      <c r="B56" s="20" t="s">
        <v>378</v>
      </c>
      <c r="C56" s="61"/>
      <c r="D56" s="98"/>
      <c r="E56" s="98">
        <f>SUM(E57:E63)</f>
        <v>15680152.76</v>
      </c>
      <c r="F56" s="98">
        <f>SUM(F57:F63)</f>
        <v>16143302.82</v>
      </c>
      <c r="G56" s="392">
        <f>SUM(G57:G63)</f>
        <v>8089637.800000001</v>
      </c>
      <c r="H56" s="392">
        <f>SUM(H57:H63)</f>
        <v>8089637.800000001</v>
      </c>
    </row>
    <row r="57" spans="1:8" ht="47.25">
      <c r="A57" s="220" t="s">
        <v>905</v>
      </c>
      <c r="B57" s="21" t="s">
        <v>379</v>
      </c>
      <c r="C57" s="62">
        <v>200</v>
      </c>
      <c r="D57" s="92">
        <v>-1714607.6</v>
      </c>
      <c r="E57" s="135">
        <v>3105606.06</v>
      </c>
      <c r="F57" s="92">
        <v>3105606.06</v>
      </c>
      <c r="G57" s="393">
        <v>3105606.06</v>
      </c>
      <c r="H57" s="395">
        <v>3105606.06</v>
      </c>
    </row>
    <row r="58" spans="1:8" ht="47.25">
      <c r="A58" s="220" t="s">
        <v>906</v>
      </c>
      <c r="B58" s="21" t="s">
        <v>941</v>
      </c>
      <c r="C58" s="62">
        <v>200</v>
      </c>
      <c r="D58" s="92"/>
      <c r="E58" s="135">
        <v>4767359.87</v>
      </c>
      <c r="F58" s="92">
        <v>4762681.58</v>
      </c>
      <c r="G58" s="393">
        <v>4844031.74</v>
      </c>
      <c r="H58" s="395">
        <v>4844031.74</v>
      </c>
    </row>
    <row r="59" spans="1:8" ht="47.25">
      <c r="A59" s="220" t="s">
        <v>1244</v>
      </c>
      <c r="B59" s="21" t="s">
        <v>941</v>
      </c>
      <c r="C59" s="62">
        <v>400</v>
      </c>
      <c r="D59" s="92"/>
      <c r="E59" s="135">
        <v>0</v>
      </c>
      <c r="F59" s="92">
        <v>0</v>
      </c>
      <c r="G59" s="393">
        <v>0</v>
      </c>
      <c r="H59" s="395">
        <v>0</v>
      </c>
    </row>
    <row r="60" spans="1:8" ht="31.5">
      <c r="A60" s="220" t="s">
        <v>922</v>
      </c>
      <c r="B60" s="21" t="s">
        <v>942</v>
      </c>
      <c r="C60" s="62">
        <v>200</v>
      </c>
      <c r="D60" s="92"/>
      <c r="E60" s="135">
        <v>0</v>
      </c>
      <c r="F60" s="92">
        <v>0</v>
      </c>
      <c r="G60" s="393">
        <v>0</v>
      </c>
      <c r="H60" s="395">
        <v>0</v>
      </c>
    </row>
    <row r="61" spans="1:8" ht="47.25">
      <c r="A61" s="220" t="s">
        <v>989</v>
      </c>
      <c r="B61" s="21" t="s">
        <v>943</v>
      </c>
      <c r="C61" s="62">
        <v>200</v>
      </c>
      <c r="D61" s="92"/>
      <c r="E61" s="135">
        <v>140000</v>
      </c>
      <c r="F61" s="92">
        <v>140000</v>
      </c>
      <c r="G61" s="393">
        <v>140000</v>
      </c>
      <c r="H61" s="395">
        <v>140000</v>
      </c>
    </row>
    <row r="62" spans="1:8" ht="192" customHeight="1">
      <c r="A62" s="220" t="s">
        <v>753</v>
      </c>
      <c r="B62" s="21" t="s">
        <v>751</v>
      </c>
      <c r="C62" s="62">
        <v>500</v>
      </c>
      <c r="D62" s="92"/>
      <c r="E62" s="92">
        <v>0</v>
      </c>
      <c r="F62" s="92">
        <v>0</v>
      </c>
      <c r="G62" s="395">
        <v>0</v>
      </c>
      <c r="H62" s="395">
        <v>0</v>
      </c>
    </row>
    <row r="63" spans="1:9" ht="79.5" customHeight="1">
      <c r="A63" s="220" t="s">
        <v>1563</v>
      </c>
      <c r="B63" s="21" t="s">
        <v>1020</v>
      </c>
      <c r="C63" s="62">
        <v>200</v>
      </c>
      <c r="D63" s="92"/>
      <c r="E63" s="92">
        <v>7667186.83</v>
      </c>
      <c r="F63" s="92">
        <v>8135015.18</v>
      </c>
      <c r="G63" s="395"/>
      <c r="H63" s="395"/>
      <c r="I63" s="220"/>
    </row>
    <row r="64" spans="1:8" ht="31.5">
      <c r="A64" s="218" t="s">
        <v>1436</v>
      </c>
      <c r="B64" s="120" t="s">
        <v>630</v>
      </c>
      <c r="C64" s="121"/>
      <c r="D64" s="122"/>
      <c r="E64" s="122">
        <f aca="true" t="shared" si="2" ref="E64:H65">E65</f>
        <v>50000</v>
      </c>
      <c r="F64" s="122">
        <f t="shared" si="2"/>
        <v>50000</v>
      </c>
      <c r="G64" s="394">
        <f t="shared" si="2"/>
        <v>50000</v>
      </c>
      <c r="H64" s="394">
        <f t="shared" si="2"/>
        <v>50000</v>
      </c>
    </row>
    <row r="65" spans="1:8" ht="21" customHeight="1">
      <c r="A65" s="218" t="s">
        <v>629</v>
      </c>
      <c r="B65" s="120" t="s">
        <v>631</v>
      </c>
      <c r="C65" s="121"/>
      <c r="D65" s="122"/>
      <c r="E65" s="122">
        <f t="shared" si="2"/>
        <v>50000</v>
      </c>
      <c r="F65" s="122">
        <f t="shared" si="2"/>
        <v>50000</v>
      </c>
      <c r="G65" s="394">
        <f t="shared" si="2"/>
        <v>50000</v>
      </c>
      <c r="H65" s="394">
        <f t="shared" si="2"/>
        <v>50000</v>
      </c>
    </row>
    <row r="66" spans="1:8" ht="31.5">
      <c r="A66" s="220" t="s">
        <v>907</v>
      </c>
      <c r="B66" s="21" t="s">
        <v>632</v>
      </c>
      <c r="C66" s="62">
        <v>200</v>
      </c>
      <c r="D66" s="92"/>
      <c r="E66" s="135">
        <v>50000</v>
      </c>
      <c r="F66" s="92">
        <v>50000</v>
      </c>
      <c r="G66" s="393">
        <v>50000</v>
      </c>
      <c r="H66" s="395">
        <v>50000</v>
      </c>
    </row>
    <row r="67" spans="1:8" ht="36.75" customHeight="1">
      <c r="A67" s="128" t="s">
        <v>1138</v>
      </c>
      <c r="B67" s="20" t="s">
        <v>1347</v>
      </c>
      <c r="C67" s="121"/>
      <c r="D67" s="92"/>
      <c r="E67" s="122">
        <f>E68</f>
        <v>20000</v>
      </c>
      <c r="F67" s="122">
        <f>F68</f>
        <v>20000</v>
      </c>
      <c r="G67" s="394">
        <f>G68</f>
        <v>20000</v>
      </c>
      <c r="H67" s="394">
        <f>H68</f>
        <v>20000</v>
      </c>
    </row>
    <row r="68" spans="1:8" ht="33" customHeight="1">
      <c r="A68" s="128" t="s">
        <v>1133</v>
      </c>
      <c r="B68" s="20" t="s">
        <v>1348</v>
      </c>
      <c r="C68" s="121"/>
      <c r="D68" s="92"/>
      <c r="E68" s="122">
        <f>E69+E70</f>
        <v>20000</v>
      </c>
      <c r="F68" s="122">
        <f>F69+F70</f>
        <v>20000</v>
      </c>
      <c r="G68" s="394">
        <f>G69+G70</f>
        <v>20000</v>
      </c>
      <c r="H68" s="394">
        <f>H69+H70</f>
        <v>20000</v>
      </c>
    </row>
    <row r="69" spans="1:8" ht="63">
      <c r="A69" s="154" t="s">
        <v>1134</v>
      </c>
      <c r="B69" s="22" t="s">
        <v>1349</v>
      </c>
      <c r="C69" s="96">
        <v>200</v>
      </c>
      <c r="D69" s="92"/>
      <c r="E69" s="97">
        <v>0</v>
      </c>
      <c r="F69" s="97">
        <v>0</v>
      </c>
      <c r="G69" s="396">
        <v>0</v>
      </c>
      <c r="H69" s="396">
        <v>0</v>
      </c>
    </row>
    <row r="70" spans="1:8" ht="78.75">
      <c r="A70" s="154" t="s">
        <v>1135</v>
      </c>
      <c r="B70" s="22" t="s">
        <v>1350</v>
      </c>
      <c r="C70" s="96">
        <v>200</v>
      </c>
      <c r="D70" s="92"/>
      <c r="E70" s="135">
        <v>20000</v>
      </c>
      <c r="F70" s="97">
        <v>20000</v>
      </c>
      <c r="G70" s="393">
        <v>20000</v>
      </c>
      <c r="H70" s="396">
        <v>20000</v>
      </c>
    </row>
    <row r="71" spans="1:8" ht="31.5">
      <c r="A71" s="152" t="s">
        <v>658</v>
      </c>
      <c r="B71" s="23" t="s">
        <v>380</v>
      </c>
      <c r="C71" s="217"/>
      <c r="D71" s="157">
        <f>D72</f>
        <v>0</v>
      </c>
      <c r="E71" s="157">
        <f>E72</f>
        <v>458000</v>
      </c>
      <c r="F71" s="157">
        <f>F72</f>
        <v>388000</v>
      </c>
      <c r="G71" s="391">
        <f>G72</f>
        <v>458000</v>
      </c>
      <c r="H71" s="391">
        <f>H72</f>
        <v>388000</v>
      </c>
    </row>
    <row r="72" spans="1:8" ht="31.5">
      <c r="A72" s="153" t="s">
        <v>381</v>
      </c>
      <c r="B72" s="20" t="s">
        <v>382</v>
      </c>
      <c r="C72" s="61"/>
      <c r="D72" s="98">
        <f>SUM(D74:D76)</f>
        <v>0</v>
      </c>
      <c r="E72" s="98">
        <f>E73+E77</f>
        <v>458000</v>
      </c>
      <c r="F72" s="98">
        <f>F73+F77</f>
        <v>388000</v>
      </c>
      <c r="G72" s="392">
        <f>G73+G77</f>
        <v>458000</v>
      </c>
      <c r="H72" s="392">
        <f>H73+H77</f>
        <v>388000</v>
      </c>
    </row>
    <row r="73" spans="1:8" ht="31.5">
      <c r="A73" s="153" t="s">
        <v>383</v>
      </c>
      <c r="B73" s="20" t="s">
        <v>384</v>
      </c>
      <c r="C73" s="61"/>
      <c r="D73" s="98"/>
      <c r="E73" s="98">
        <f>SUM(E74:E76)</f>
        <v>30000</v>
      </c>
      <c r="F73" s="98">
        <f>SUM(F74:F76)</f>
        <v>30000</v>
      </c>
      <c r="G73" s="392">
        <f>SUM(G74:G76)</f>
        <v>30000</v>
      </c>
      <c r="H73" s="392">
        <f>SUM(H74:H76)</f>
        <v>30000</v>
      </c>
    </row>
    <row r="74" spans="1:8" ht="34.5" customHeight="1">
      <c r="A74" s="63" t="s">
        <v>612</v>
      </c>
      <c r="B74" s="21" t="s">
        <v>385</v>
      </c>
      <c r="C74" s="62">
        <v>200</v>
      </c>
      <c r="D74" s="92"/>
      <c r="E74" s="135">
        <v>10000</v>
      </c>
      <c r="F74" s="92">
        <v>10000</v>
      </c>
      <c r="G74" s="393">
        <v>10000</v>
      </c>
      <c r="H74" s="395">
        <v>10000</v>
      </c>
    </row>
    <row r="75" spans="1:8" ht="47.25">
      <c r="A75" s="63" t="s">
        <v>1391</v>
      </c>
      <c r="B75" s="21" t="s">
        <v>386</v>
      </c>
      <c r="C75" s="62">
        <v>200</v>
      </c>
      <c r="D75" s="92"/>
      <c r="E75" s="135">
        <v>20000</v>
      </c>
      <c r="F75" s="92">
        <v>20000</v>
      </c>
      <c r="G75" s="393">
        <v>20000</v>
      </c>
      <c r="H75" s="395">
        <v>20000</v>
      </c>
    </row>
    <row r="76" spans="1:8" ht="47.25">
      <c r="A76" s="63" t="s">
        <v>600</v>
      </c>
      <c r="B76" s="21" t="s">
        <v>387</v>
      </c>
      <c r="C76" s="62">
        <v>200</v>
      </c>
      <c r="D76" s="92"/>
      <c r="E76" s="92">
        <v>0</v>
      </c>
      <c r="F76" s="92">
        <v>0</v>
      </c>
      <c r="G76" s="395">
        <v>0</v>
      </c>
      <c r="H76" s="395">
        <v>0</v>
      </c>
    </row>
    <row r="77" spans="1:8" ht="31.5">
      <c r="A77" s="153" t="s">
        <v>925</v>
      </c>
      <c r="B77" s="120" t="s">
        <v>923</v>
      </c>
      <c r="C77" s="121"/>
      <c r="D77" s="122"/>
      <c r="E77" s="122">
        <f>SUM(E78:E79)</f>
        <v>428000</v>
      </c>
      <c r="F77" s="122">
        <f>SUM(F78:F79)</f>
        <v>358000</v>
      </c>
      <c r="G77" s="394">
        <f>SUM(G78:G79)</f>
        <v>428000</v>
      </c>
      <c r="H77" s="394">
        <f>SUM(H78:H79)</f>
        <v>358000</v>
      </c>
    </row>
    <row r="78" spans="1:8" ht="47.25">
      <c r="A78" s="63" t="s">
        <v>627</v>
      </c>
      <c r="B78" s="21" t="s">
        <v>924</v>
      </c>
      <c r="C78" s="62">
        <v>800</v>
      </c>
      <c r="D78" s="92"/>
      <c r="E78" s="135">
        <v>258000</v>
      </c>
      <c r="F78" s="92">
        <v>258000</v>
      </c>
      <c r="G78" s="393">
        <v>258000</v>
      </c>
      <c r="H78" s="395">
        <v>258000</v>
      </c>
    </row>
    <row r="79" spans="1:8" ht="114" customHeight="1">
      <c r="A79" s="63" t="s">
        <v>1392</v>
      </c>
      <c r="B79" s="21" t="s">
        <v>944</v>
      </c>
      <c r="C79" s="62">
        <v>800</v>
      </c>
      <c r="D79" s="92"/>
      <c r="E79" s="135">
        <v>170000</v>
      </c>
      <c r="F79" s="92">
        <v>100000</v>
      </c>
      <c r="G79" s="393">
        <v>170000</v>
      </c>
      <c r="H79" s="395">
        <v>100000</v>
      </c>
    </row>
    <row r="80" spans="1:8" ht="31.5">
      <c r="A80" s="153" t="s">
        <v>1383</v>
      </c>
      <c r="B80" s="120" t="s">
        <v>1381</v>
      </c>
      <c r="C80" s="121"/>
      <c r="D80" s="98" t="e">
        <f>SUM(D83:D85)</f>
        <v>#REF!</v>
      </c>
      <c r="E80" s="98">
        <f>E81</f>
        <v>0</v>
      </c>
      <c r="F80" s="98">
        <f>F81</f>
        <v>0</v>
      </c>
      <c r="G80" s="392">
        <f>G81</f>
        <v>0</v>
      </c>
      <c r="H80" s="392">
        <f>H81</f>
        <v>0</v>
      </c>
    </row>
    <row r="81" spans="1:8" ht="31.5">
      <c r="A81" s="219" t="s">
        <v>1248</v>
      </c>
      <c r="B81" s="120" t="s">
        <v>1382</v>
      </c>
      <c r="C81" s="121"/>
      <c r="D81" s="98"/>
      <c r="E81" s="98">
        <f>E83+E82</f>
        <v>0</v>
      </c>
      <c r="F81" s="98">
        <f>F83+F82</f>
        <v>0</v>
      </c>
      <c r="G81" s="392">
        <f>G83+G82</f>
        <v>0</v>
      </c>
      <c r="H81" s="392">
        <f>H83+H82</f>
        <v>0</v>
      </c>
    </row>
    <row r="82" spans="1:8" ht="63">
      <c r="A82" s="63" t="s">
        <v>1250</v>
      </c>
      <c r="B82" s="21" t="s">
        <v>1389</v>
      </c>
      <c r="C82" s="62">
        <v>200</v>
      </c>
      <c r="D82" s="92"/>
      <c r="E82" s="92"/>
      <c r="F82" s="92">
        <v>0</v>
      </c>
      <c r="G82" s="395"/>
      <c r="H82" s="395">
        <v>0</v>
      </c>
    </row>
    <row r="83" spans="1:8" ht="78.75">
      <c r="A83" s="63" t="s">
        <v>1251</v>
      </c>
      <c r="B83" s="21" t="s">
        <v>1390</v>
      </c>
      <c r="C83" s="62">
        <v>200</v>
      </c>
      <c r="D83" s="92"/>
      <c r="E83" s="92"/>
      <c r="F83" s="92">
        <v>0</v>
      </c>
      <c r="G83" s="395"/>
      <c r="H83" s="395">
        <v>0</v>
      </c>
    </row>
    <row r="84" spans="1:8" ht="31.5">
      <c r="A84" s="213" t="s">
        <v>885</v>
      </c>
      <c r="B84" s="23" t="s">
        <v>388</v>
      </c>
      <c r="C84" s="217"/>
      <c r="D84" s="157" t="e">
        <f>D85</f>
        <v>#REF!</v>
      </c>
      <c r="E84" s="157">
        <f>E85</f>
        <v>2000</v>
      </c>
      <c r="F84" s="157">
        <f>F85</f>
        <v>23500</v>
      </c>
      <c r="G84" s="391">
        <f>G85</f>
        <v>2000</v>
      </c>
      <c r="H84" s="391">
        <f>H85</f>
        <v>23500</v>
      </c>
    </row>
    <row r="85" spans="1:8" ht="31.5">
      <c r="A85" s="128" t="s">
        <v>889</v>
      </c>
      <c r="B85" s="20" t="s">
        <v>389</v>
      </c>
      <c r="C85" s="61"/>
      <c r="D85" s="98" t="e">
        <f>SUM(#REF!)</f>
        <v>#REF!</v>
      </c>
      <c r="E85" s="98">
        <f>E86+E93+E98</f>
        <v>2000</v>
      </c>
      <c r="F85" s="98">
        <f>F86+F93+F98</f>
        <v>23500</v>
      </c>
      <c r="G85" s="392">
        <f>G86+G93+G98</f>
        <v>2000</v>
      </c>
      <c r="H85" s="392">
        <f>H86+H93+H98</f>
        <v>23500</v>
      </c>
    </row>
    <row r="86" spans="1:8" ht="31.5">
      <c r="A86" s="128" t="s">
        <v>932</v>
      </c>
      <c r="B86" s="20" t="s">
        <v>390</v>
      </c>
      <c r="C86" s="61"/>
      <c r="D86" s="98"/>
      <c r="E86" s="98">
        <f>SUM(E87:E92)</f>
        <v>0</v>
      </c>
      <c r="F86" s="98">
        <f>SUM(F87:F92)</f>
        <v>4000</v>
      </c>
      <c r="G86" s="392">
        <f>SUM(G87:G92)</f>
        <v>0</v>
      </c>
      <c r="H86" s="392">
        <f>SUM(H87:H92)</f>
        <v>4000</v>
      </c>
    </row>
    <row r="87" spans="1:8" ht="48" customHeight="1">
      <c r="A87" s="69" t="s">
        <v>888</v>
      </c>
      <c r="B87" s="21" t="s">
        <v>1351</v>
      </c>
      <c r="C87" s="62">
        <v>200</v>
      </c>
      <c r="D87" s="97"/>
      <c r="E87" s="97"/>
      <c r="F87" s="97"/>
      <c r="G87" s="396"/>
      <c r="H87" s="396"/>
    </row>
    <row r="88" spans="1:8" ht="63">
      <c r="A88" s="69" t="s">
        <v>890</v>
      </c>
      <c r="B88" s="21" t="s">
        <v>1352</v>
      </c>
      <c r="C88" s="62">
        <v>200</v>
      </c>
      <c r="D88" s="97"/>
      <c r="E88" s="97"/>
      <c r="F88" s="97"/>
      <c r="G88" s="396"/>
      <c r="H88" s="396"/>
    </row>
    <row r="89" spans="1:8" ht="46.5" customHeight="1">
      <c r="A89" s="69" t="s">
        <v>891</v>
      </c>
      <c r="B89" s="21" t="s">
        <v>1353</v>
      </c>
      <c r="C89" s="62">
        <v>200</v>
      </c>
      <c r="D89" s="97"/>
      <c r="E89" s="97"/>
      <c r="F89" s="97"/>
      <c r="G89" s="396"/>
      <c r="H89" s="396"/>
    </row>
    <row r="90" spans="1:8" ht="63">
      <c r="A90" s="69" t="s">
        <v>892</v>
      </c>
      <c r="B90" s="21" t="s">
        <v>1354</v>
      </c>
      <c r="C90" s="62">
        <v>200</v>
      </c>
      <c r="D90" s="97"/>
      <c r="E90" s="97"/>
      <c r="F90" s="97"/>
      <c r="G90" s="396"/>
      <c r="H90" s="396"/>
    </row>
    <row r="91" spans="1:8" ht="46.5" customHeight="1">
      <c r="A91" s="223" t="s">
        <v>1371</v>
      </c>
      <c r="B91" s="133" t="s">
        <v>1372</v>
      </c>
      <c r="C91" s="134">
        <v>200</v>
      </c>
      <c r="D91" s="135"/>
      <c r="E91" s="135">
        <v>0</v>
      </c>
      <c r="F91" s="135">
        <v>4000</v>
      </c>
      <c r="G91" s="393">
        <v>0</v>
      </c>
      <c r="H91" s="393">
        <v>4000</v>
      </c>
    </row>
    <row r="92" spans="1:8" ht="63">
      <c r="A92" s="69" t="s">
        <v>893</v>
      </c>
      <c r="B92" s="21" t="s">
        <v>1355</v>
      </c>
      <c r="C92" s="62">
        <v>200</v>
      </c>
      <c r="D92" s="97"/>
      <c r="E92" s="97"/>
      <c r="F92" s="97"/>
      <c r="G92" s="396"/>
      <c r="H92" s="396"/>
    </row>
    <row r="93" spans="1:8" ht="31.5">
      <c r="A93" s="128" t="s">
        <v>933</v>
      </c>
      <c r="B93" s="20" t="s">
        <v>1356</v>
      </c>
      <c r="C93" s="121"/>
      <c r="D93" s="97"/>
      <c r="E93" s="122">
        <f>E94+E95+E97</f>
        <v>0</v>
      </c>
      <c r="F93" s="122">
        <f>F94+F95+F97</f>
        <v>17500</v>
      </c>
      <c r="G93" s="394">
        <f>G94+G95+G97</f>
        <v>0</v>
      </c>
      <c r="H93" s="394">
        <f>H94+H95+H97</f>
        <v>17500</v>
      </c>
    </row>
    <row r="94" spans="1:8" ht="47.25" customHeight="1">
      <c r="A94" s="69" t="s">
        <v>936</v>
      </c>
      <c r="B94" s="21" t="s">
        <v>1357</v>
      </c>
      <c r="C94" s="62">
        <v>200</v>
      </c>
      <c r="D94" s="97"/>
      <c r="E94" s="97">
        <v>0</v>
      </c>
      <c r="F94" s="97">
        <v>0</v>
      </c>
      <c r="G94" s="396">
        <v>0</v>
      </c>
      <c r="H94" s="396">
        <v>0</v>
      </c>
    </row>
    <row r="95" spans="1:8" ht="63">
      <c r="A95" s="69" t="s">
        <v>1060</v>
      </c>
      <c r="B95" s="21" t="s">
        <v>1358</v>
      </c>
      <c r="C95" s="62">
        <v>200</v>
      </c>
      <c r="D95" s="97"/>
      <c r="E95" s="97">
        <v>0</v>
      </c>
      <c r="F95" s="97">
        <v>9000</v>
      </c>
      <c r="G95" s="396">
        <v>0</v>
      </c>
      <c r="H95" s="396">
        <v>9000</v>
      </c>
    </row>
    <row r="96" spans="1:8" ht="45.75" customHeight="1">
      <c r="A96" s="223" t="s">
        <v>1400</v>
      </c>
      <c r="B96" s="133" t="s">
        <v>1401</v>
      </c>
      <c r="C96" s="134">
        <v>200</v>
      </c>
      <c r="D96" s="97"/>
      <c r="E96" s="97">
        <v>0</v>
      </c>
      <c r="F96" s="97">
        <v>0</v>
      </c>
      <c r="G96" s="396">
        <v>0</v>
      </c>
      <c r="H96" s="396">
        <v>0</v>
      </c>
    </row>
    <row r="97" spans="1:8" ht="63">
      <c r="A97" s="223" t="s">
        <v>938</v>
      </c>
      <c r="B97" s="133" t="s">
        <v>1359</v>
      </c>
      <c r="C97" s="134">
        <v>200</v>
      </c>
      <c r="D97" s="135"/>
      <c r="E97" s="135">
        <v>0</v>
      </c>
      <c r="F97" s="135">
        <v>8500</v>
      </c>
      <c r="G97" s="393">
        <v>0</v>
      </c>
      <c r="H97" s="393">
        <v>8500</v>
      </c>
    </row>
    <row r="98" spans="1:8" ht="33.75" customHeight="1">
      <c r="A98" s="128" t="s">
        <v>934</v>
      </c>
      <c r="B98" s="20" t="s">
        <v>1360</v>
      </c>
      <c r="C98" s="121"/>
      <c r="D98" s="97"/>
      <c r="E98" s="122">
        <f>E99+E100+E101+E102</f>
        <v>2000</v>
      </c>
      <c r="F98" s="122">
        <f>F99+F100+F101+F102</f>
        <v>2000</v>
      </c>
      <c r="G98" s="394">
        <f>G99+G100+G101+G102</f>
        <v>2000</v>
      </c>
      <c r="H98" s="394">
        <f>H99+H100+H101+H102</f>
        <v>2000</v>
      </c>
    </row>
    <row r="99" spans="1:8" ht="65.25" customHeight="1">
      <c r="A99" s="69" t="s">
        <v>894</v>
      </c>
      <c r="B99" s="21" t="s">
        <v>1361</v>
      </c>
      <c r="C99" s="62">
        <v>200</v>
      </c>
      <c r="D99" s="97"/>
      <c r="E99" s="97">
        <v>0</v>
      </c>
      <c r="F99" s="97">
        <v>0</v>
      </c>
      <c r="G99" s="396">
        <v>0</v>
      </c>
      <c r="H99" s="396">
        <v>0</v>
      </c>
    </row>
    <row r="100" spans="1:8" ht="63">
      <c r="A100" s="223" t="s">
        <v>1317</v>
      </c>
      <c r="B100" s="133" t="s">
        <v>1362</v>
      </c>
      <c r="C100" s="134">
        <v>200</v>
      </c>
      <c r="D100" s="97"/>
      <c r="E100" s="92">
        <v>0</v>
      </c>
      <c r="F100" s="92">
        <v>0</v>
      </c>
      <c r="G100" s="395">
        <v>0</v>
      </c>
      <c r="H100" s="395">
        <v>0</v>
      </c>
    </row>
    <row r="101" spans="1:8" ht="60" customHeight="1">
      <c r="A101" s="223" t="s">
        <v>1321</v>
      </c>
      <c r="B101" s="133" t="s">
        <v>1363</v>
      </c>
      <c r="C101" s="134">
        <v>200</v>
      </c>
      <c r="D101" s="97"/>
      <c r="E101" s="92">
        <v>0</v>
      </c>
      <c r="F101" s="92">
        <v>0</v>
      </c>
      <c r="G101" s="395">
        <v>0</v>
      </c>
      <c r="H101" s="395">
        <v>0</v>
      </c>
    </row>
    <row r="102" spans="1:8" ht="63.75" customHeight="1">
      <c r="A102" s="223" t="s">
        <v>895</v>
      </c>
      <c r="B102" s="133" t="s">
        <v>1364</v>
      </c>
      <c r="C102" s="134">
        <v>200</v>
      </c>
      <c r="D102" s="97"/>
      <c r="E102" s="135">
        <v>2000</v>
      </c>
      <c r="F102" s="92">
        <v>2000</v>
      </c>
      <c r="G102" s="393">
        <v>2000</v>
      </c>
      <c r="H102" s="395">
        <v>2000</v>
      </c>
    </row>
    <row r="103" spans="1:8" ht="64.5" customHeight="1">
      <c r="A103" s="227" t="s">
        <v>663</v>
      </c>
      <c r="B103" s="23" t="s">
        <v>391</v>
      </c>
      <c r="C103" s="121"/>
      <c r="D103" s="122"/>
      <c r="E103" s="122">
        <f aca="true" t="shared" si="3" ref="E103:H104">E104</f>
        <v>0</v>
      </c>
      <c r="F103" s="122">
        <f t="shared" si="3"/>
        <v>0</v>
      </c>
      <c r="G103" s="394">
        <f t="shared" si="3"/>
        <v>0</v>
      </c>
      <c r="H103" s="394">
        <f t="shared" si="3"/>
        <v>0</v>
      </c>
    </row>
    <row r="104" spans="1:8" ht="47.25">
      <c r="A104" s="128" t="s">
        <v>624</v>
      </c>
      <c r="B104" s="20" t="s">
        <v>392</v>
      </c>
      <c r="C104" s="121"/>
      <c r="D104" s="122"/>
      <c r="E104" s="122">
        <f t="shared" si="3"/>
        <v>0</v>
      </c>
      <c r="F104" s="122">
        <f t="shared" si="3"/>
        <v>0</v>
      </c>
      <c r="G104" s="394">
        <f t="shared" si="3"/>
        <v>0</v>
      </c>
      <c r="H104" s="394">
        <f t="shared" si="3"/>
        <v>0</v>
      </c>
    </row>
    <row r="105" spans="1:8" ht="47.25">
      <c r="A105" s="128" t="s">
        <v>625</v>
      </c>
      <c r="B105" s="20" t="s">
        <v>393</v>
      </c>
      <c r="C105" s="121"/>
      <c r="D105" s="122"/>
      <c r="E105" s="122">
        <f>SUM(E106:E106)</f>
        <v>0</v>
      </c>
      <c r="F105" s="122">
        <f>SUM(F106:F106)</f>
        <v>0</v>
      </c>
      <c r="G105" s="394">
        <f>SUM(G106:G106)</f>
        <v>0</v>
      </c>
      <c r="H105" s="394">
        <f>SUM(H106:H106)</f>
        <v>0</v>
      </c>
    </row>
    <row r="106" spans="1:8" ht="63">
      <c r="A106" s="154" t="s">
        <v>1028</v>
      </c>
      <c r="B106" s="22" t="s">
        <v>1365</v>
      </c>
      <c r="C106" s="96">
        <v>400</v>
      </c>
      <c r="D106" s="97"/>
      <c r="E106" s="97"/>
      <c r="F106" s="97"/>
      <c r="G106" s="396"/>
      <c r="H106" s="396"/>
    </row>
    <row r="107" spans="1:8" ht="31.5">
      <c r="A107" s="152" t="s">
        <v>1369</v>
      </c>
      <c r="B107" s="23" t="s">
        <v>394</v>
      </c>
      <c r="C107" s="217"/>
      <c r="D107" s="157">
        <f>D108+D117</f>
        <v>442600</v>
      </c>
      <c r="E107" s="157">
        <f>E108+E117+E125</f>
        <v>11002768</v>
      </c>
      <c r="F107" s="157">
        <f>F108+F117+F125</f>
        <v>10266280</v>
      </c>
      <c r="G107" s="391">
        <f>G108+G117+G125</f>
        <v>11002768</v>
      </c>
      <c r="H107" s="391">
        <f>H108+H117+H125</f>
        <v>10266280</v>
      </c>
    </row>
    <row r="108" spans="1:8" ht="31.5">
      <c r="A108" s="153" t="s">
        <v>1393</v>
      </c>
      <c r="B108" s="20" t="s">
        <v>395</v>
      </c>
      <c r="C108" s="61"/>
      <c r="D108" s="98">
        <f>SUM(D110:D111)</f>
        <v>181000</v>
      </c>
      <c r="E108" s="98">
        <f>E109+E115</f>
        <v>4069050</v>
      </c>
      <c r="F108" s="98">
        <f>F109+F115</f>
        <v>3787224.9</v>
      </c>
      <c r="G108" s="392">
        <f>G109+G115</f>
        <v>4069050</v>
      </c>
      <c r="H108" s="392">
        <f>H109+H115</f>
        <v>3787224.9</v>
      </c>
    </row>
    <row r="109" spans="1:8" ht="31.5">
      <c r="A109" s="153" t="s">
        <v>396</v>
      </c>
      <c r="B109" s="20" t="s">
        <v>397</v>
      </c>
      <c r="C109" s="61"/>
      <c r="D109" s="98"/>
      <c r="E109" s="98">
        <f>SUM(E110:E114)</f>
        <v>3937050</v>
      </c>
      <c r="F109" s="98">
        <f>SUM(F110:F114)</f>
        <v>3655224.9</v>
      </c>
      <c r="G109" s="392">
        <f>SUM(G110:G114)</f>
        <v>3937050</v>
      </c>
      <c r="H109" s="392">
        <f>SUM(H110:H114)</f>
        <v>3655224.9</v>
      </c>
    </row>
    <row r="110" spans="1:8" ht="63">
      <c r="A110" s="63" t="s">
        <v>398</v>
      </c>
      <c r="B110" s="21" t="s">
        <v>399</v>
      </c>
      <c r="C110" s="62">
        <v>600</v>
      </c>
      <c r="D110" s="92">
        <v>-80600</v>
      </c>
      <c r="E110" s="92">
        <f>3998750-61700</f>
        <v>3937050</v>
      </c>
      <c r="F110" s="92">
        <f>3716924.9-61700</f>
        <v>3655224.9</v>
      </c>
      <c r="G110" s="395">
        <f>3998750-61700</f>
        <v>3937050</v>
      </c>
      <c r="H110" s="395">
        <f>3716924.9-61700</f>
        <v>3655224.9</v>
      </c>
    </row>
    <row r="111" spans="1:8" ht="84" customHeight="1">
      <c r="A111" s="63" t="s">
        <v>513</v>
      </c>
      <c r="B111" s="21" t="s">
        <v>400</v>
      </c>
      <c r="C111" s="62">
        <v>600</v>
      </c>
      <c r="D111" s="92">
        <v>261600</v>
      </c>
      <c r="E111" s="92"/>
      <c r="F111" s="92"/>
      <c r="G111" s="395"/>
      <c r="H111" s="395"/>
    </row>
    <row r="112" spans="1:8" ht="63">
      <c r="A112" s="221" t="s">
        <v>1160</v>
      </c>
      <c r="B112" s="21" t="s">
        <v>1162</v>
      </c>
      <c r="C112" s="62">
        <v>600</v>
      </c>
      <c r="D112" s="92"/>
      <c r="E112" s="92"/>
      <c r="F112" s="92"/>
      <c r="G112" s="395"/>
      <c r="H112" s="395"/>
    </row>
    <row r="113" spans="1:8" ht="63">
      <c r="A113" s="221" t="s">
        <v>1154</v>
      </c>
      <c r="B113" s="21" t="s">
        <v>1163</v>
      </c>
      <c r="C113" s="62">
        <v>600</v>
      </c>
      <c r="D113" s="92"/>
      <c r="E113" s="92"/>
      <c r="F113" s="92"/>
      <c r="G113" s="395"/>
      <c r="H113" s="395"/>
    </row>
    <row r="114" spans="1:8" ht="78.75">
      <c r="A114" s="63" t="s">
        <v>567</v>
      </c>
      <c r="B114" s="21" t="s">
        <v>568</v>
      </c>
      <c r="C114" s="62">
        <v>600</v>
      </c>
      <c r="D114" s="92"/>
      <c r="E114" s="92"/>
      <c r="F114" s="92"/>
      <c r="G114" s="395"/>
      <c r="H114" s="395"/>
    </row>
    <row r="115" spans="1:8" ht="33.75" customHeight="1">
      <c r="A115" s="153" t="s">
        <v>1341</v>
      </c>
      <c r="B115" s="20" t="s">
        <v>1326</v>
      </c>
      <c r="C115" s="61"/>
      <c r="D115" s="98"/>
      <c r="E115" s="98">
        <f>E116</f>
        <v>132000</v>
      </c>
      <c r="F115" s="98">
        <f>F116</f>
        <v>132000</v>
      </c>
      <c r="G115" s="392">
        <f>G116</f>
        <v>132000</v>
      </c>
      <c r="H115" s="392">
        <f>H116</f>
        <v>132000</v>
      </c>
    </row>
    <row r="116" spans="1:8" ht="50.25" customHeight="1">
      <c r="A116" s="221" t="s">
        <v>1439</v>
      </c>
      <c r="B116" s="133" t="s">
        <v>1521</v>
      </c>
      <c r="C116" s="134">
        <v>600</v>
      </c>
      <c r="D116" s="135"/>
      <c r="E116" s="135">
        <v>132000</v>
      </c>
      <c r="F116" s="135">
        <v>132000</v>
      </c>
      <c r="G116" s="395">
        <v>132000</v>
      </c>
      <c r="H116" s="395">
        <v>132000</v>
      </c>
    </row>
    <row r="117" spans="1:8" ht="31.5">
      <c r="A117" s="153" t="s">
        <v>401</v>
      </c>
      <c r="B117" s="20" t="s">
        <v>402</v>
      </c>
      <c r="C117" s="61"/>
      <c r="D117" s="98">
        <f>SUM(D119:D120)</f>
        <v>261600</v>
      </c>
      <c r="E117" s="98">
        <f>E118</f>
        <v>6807718</v>
      </c>
      <c r="F117" s="98">
        <f>F118</f>
        <v>6353055.1</v>
      </c>
      <c r="G117" s="392">
        <f>G118</f>
        <v>6807718</v>
      </c>
      <c r="H117" s="392">
        <f>H118</f>
        <v>6353055.1</v>
      </c>
    </row>
    <row r="118" spans="1:8" ht="15.75">
      <c r="A118" s="153" t="s">
        <v>404</v>
      </c>
      <c r="B118" s="20" t="s">
        <v>403</v>
      </c>
      <c r="C118" s="61"/>
      <c r="D118" s="98"/>
      <c r="E118" s="98">
        <f>SUM(E119:E124)</f>
        <v>6807718</v>
      </c>
      <c r="F118" s="98">
        <f>SUM(F119:F124)</f>
        <v>6353055.1</v>
      </c>
      <c r="G118" s="392">
        <f>SUM(G119:G124)</f>
        <v>6807718</v>
      </c>
      <c r="H118" s="392">
        <f>SUM(H119:H124)</f>
        <v>6353055.1</v>
      </c>
    </row>
    <row r="119" spans="1:8" ht="63">
      <c r="A119" s="63" t="s">
        <v>405</v>
      </c>
      <c r="B119" s="21" t="s">
        <v>406</v>
      </c>
      <c r="C119" s="62">
        <v>600</v>
      </c>
      <c r="D119" s="92"/>
      <c r="E119" s="92">
        <v>6616718</v>
      </c>
      <c r="F119" s="92">
        <v>6353055.1</v>
      </c>
      <c r="G119" s="395">
        <v>6616718</v>
      </c>
      <c r="H119" s="395">
        <v>6353055.1</v>
      </c>
    </row>
    <row r="120" spans="1:8" ht="79.5" customHeight="1">
      <c r="A120" s="63" t="s">
        <v>513</v>
      </c>
      <c r="B120" s="21" t="s">
        <v>407</v>
      </c>
      <c r="C120" s="62">
        <v>600</v>
      </c>
      <c r="D120" s="92">
        <v>261600</v>
      </c>
      <c r="E120" s="92"/>
      <c r="F120" s="92"/>
      <c r="G120" s="395"/>
      <c r="H120" s="395"/>
    </row>
    <row r="121" spans="1:8" ht="78.75">
      <c r="A121" s="63" t="s">
        <v>567</v>
      </c>
      <c r="B121" s="21" t="s">
        <v>569</v>
      </c>
      <c r="C121" s="62">
        <v>600</v>
      </c>
      <c r="D121" s="92"/>
      <c r="E121" s="92"/>
      <c r="F121" s="92"/>
      <c r="G121" s="395"/>
      <c r="H121" s="395"/>
    </row>
    <row r="122" spans="1:8" ht="63">
      <c r="A122" s="221" t="s">
        <v>1156</v>
      </c>
      <c r="B122" s="133" t="s">
        <v>1165</v>
      </c>
      <c r="C122" s="134">
        <v>600</v>
      </c>
      <c r="D122" s="92"/>
      <c r="E122" s="92">
        <v>191000</v>
      </c>
      <c r="F122" s="92"/>
      <c r="G122" s="395">
        <v>191000</v>
      </c>
      <c r="H122" s="395"/>
    </row>
    <row r="123" spans="1:8" ht="63">
      <c r="A123" s="221" t="s">
        <v>1158</v>
      </c>
      <c r="B123" s="133" t="s">
        <v>1164</v>
      </c>
      <c r="C123" s="134">
        <v>600</v>
      </c>
      <c r="D123" s="92"/>
      <c r="E123" s="92"/>
      <c r="F123" s="92"/>
      <c r="G123" s="395"/>
      <c r="H123" s="395"/>
    </row>
    <row r="124" spans="1:8" ht="47.25">
      <c r="A124" s="63" t="s">
        <v>556</v>
      </c>
      <c r="B124" s="21" t="s">
        <v>765</v>
      </c>
      <c r="C124" s="62">
        <v>600</v>
      </c>
      <c r="D124" s="92"/>
      <c r="E124" s="92"/>
      <c r="F124" s="92"/>
      <c r="G124" s="395"/>
      <c r="H124" s="395"/>
    </row>
    <row r="125" spans="1:8" ht="19.5" customHeight="1">
      <c r="A125" s="153" t="s">
        <v>1330</v>
      </c>
      <c r="B125" s="20" t="s">
        <v>1331</v>
      </c>
      <c r="C125" s="61"/>
      <c r="D125" s="92"/>
      <c r="E125" s="122">
        <f aca="true" t="shared" si="4" ref="E125:H126">E126</f>
        <v>126000</v>
      </c>
      <c r="F125" s="122">
        <f t="shared" si="4"/>
        <v>126000</v>
      </c>
      <c r="G125" s="394">
        <f t="shared" si="4"/>
        <v>126000</v>
      </c>
      <c r="H125" s="394">
        <f t="shared" si="4"/>
        <v>126000</v>
      </c>
    </row>
    <row r="126" spans="1:8" ht="18.75" customHeight="1">
      <c r="A126" s="153" t="s">
        <v>1367</v>
      </c>
      <c r="B126" s="20" t="s">
        <v>1332</v>
      </c>
      <c r="C126" s="61"/>
      <c r="D126" s="92"/>
      <c r="E126" s="122">
        <f t="shared" si="4"/>
        <v>126000</v>
      </c>
      <c r="F126" s="122">
        <f t="shared" si="4"/>
        <v>126000</v>
      </c>
      <c r="G126" s="394">
        <f t="shared" si="4"/>
        <v>126000</v>
      </c>
      <c r="H126" s="394">
        <f t="shared" si="4"/>
        <v>126000</v>
      </c>
    </row>
    <row r="127" spans="1:8" ht="51" customHeight="1">
      <c r="A127" s="221" t="s">
        <v>1529</v>
      </c>
      <c r="B127" s="133" t="s">
        <v>1526</v>
      </c>
      <c r="C127" s="134">
        <v>600</v>
      </c>
      <c r="D127" s="135"/>
      <c r="E127" s="135">
        <v>126000</v>
      </c>
      <c r="F127" s="135">
        <v>126000</v>
      </c>
      <c r="G127" s="393">
        <v>126000</v>
      </c>
      <c r="H127" s="395">
        <v>126000</v>
      </c>
    </row>
    <row r="128" spans="1:8" ht="47.25">
      <c r="A128" s="152" t="s">
        <v>659</v>
      </c>
      <c r="B128" s="23" t="s">
        <v>408</v>
      </c>
      <c r="C128" s="217"/>
      <c r="D128" s="157" t="e">
        <f>D129+D133+D142+#REF!</f>
        <v>#REF!</v>
      </c>
      <c r="E128" s="157">
        <f>E129+E133+E142+E145+E150+E155+E159</f>
        <v>11043561.08</v>
      </c>
      <c r="F128" s="157">
        <f>F129+F133+F142+F145+F150+F155+F159</f>
        <v>8776960.07</v>
      </c>
      <c r="G128" s="391">
        <f>G129+G133+G142+G145+G150+G155+G159</f>
        <v>12180374.07</v>
      </c>
      <c r="H128" s="391">
        <f>H129+H133+H142+H145+H150+H155+H159</f>
        <v>7411286.07</v>
      </c>
    </row>
    <row r="129" spans="1:8" ht="19.5" customHeight="1">
      <c r="A129" s="153" t="s">
        <v>409</v>
      </c>
      <c r="B129" s="20" t="s">
        <v>410</v>
      </c>
      <c r="C129" s="61"/>
      <c r="D129" s="98" t="e">
        <f>D132+#REF!+#REF!</f>
        <v>#REF!</v>
      </c>
      <c r="E129" s="98">
        <f>E130</f>
        <v>1265726.07</v>
      </c>
      <c r="F129" s="98">
        <f>F130</f>
        <v>255625.06</v>
      </c>
      <c r="G129" s="392">
        <f>G130</f>
        <v>255625.06</v>
      </c>
      <c r="H129" s="392">
        <f>H130</f>
        <v>255625.06</v>
      </c>
    </row>
    <row r="130" spans="1:8" ht="36" customHeight="1">
      <c r="A130" s="153" t="s">
        <v>411</v>
      </c>
      <c r="B130" s="20" t="s">
        <v>412</v>
      </c>
      <c r="C130" s="61"/>
      <c r="D130" s="98"/>
      <c r="E130" s="98">
        <f>SUM(E131:E132)</f>
        <v>1265726.07</v>
      </c>
      <c r="F130" s="98">
        <f>SUM(F131:F132)</f>
        <v>255625.06</v>
      </c>
      <c r="G130" s="392">
        <f>SUM(G132:G132)</f>
        <v>255625.06</v>
      </c>
      <c r="H130" s="392">
        <f>SUM(H132:H132)</f>
        <v>255625.06</v>
      </c>
    </row>
    <row r="131" spans="1:8" ht="64.5" customHeight="1">
      <c r="A131" s="221" t="s">
        <v>1585</v>
      </c>
      <c r="B131" s="21" t="s">
        <v>1547</v>
      </c>
      <c r="C131" s="134">
        <v>400</v>
      </c>
      <c r="D131" s="135"/>
      <c r="E131" s="253">
        <v>1010101.01</v>
      </c>
      <c r="F131" s="135">
        <v>0</v>
      </c>
      <c r="G131" s="392"/>
      <c r="H131" s="392"/>
    </row>
    <row r="132" spans="1:8" ht="47.25">
      <c r="A132" s="64" t="s">
        <v>601</v>
      </c>
      <c r="B132" s="21" t="s">
        <v>413</v>
      </c>
      <c r="C132" s="62">
        <v>200</v>
      </c>
      <c r="D132" s="92">
        <v>-220000</v>
      </c>
      <c r="E132" s="135">
        <v>255625.06</v>
      </c>
      <c r="F132" s="92">
        <v>255625.06</v>
      </c>
      <c r="G132" s="393">
        <v>255625.06</v>
      </c>
      <c r="H132" s="395">
        <v>255625.06</v>
      </c>
    </row>
    <row r="133" spans="1:8" ht="46.5" customHeight="1">
      <c r="A133" s="153" t="s">
        <v>674</v>
      </c>
      <c r="B133" s="20" t="s">
        <v>414</v>
      </c>
      <c r="C133" s="61"/>
      <c r="D133" s="98" t="e">
        <f>#REF!+D140+#REF!+#REF!+#REF!</f>
        <v>#REF!</v>
      </c>
      <c r="E133" s="98">
        <f>E134+E139</f>
        <v>2101083.39</v>
      </c>
      <c r="F133" s="98">
        <f>F134+F139</f>
        <v>844583.39</v>
      </c>
      <c r="G133" s="392">
        <f>G134+G139</f>
        <v>2101083.39</v>
      </c>
      <c r="H133" s="392">
        <f>H134+H139</f>
        <v>2101083.39</v>
      </c>
    </row>
    <row r="134" spans="1:8" ht="45" customHeight="1">
      <c r="A134" s="153" t="s">
        <v>908</v>
      </c>
      <c r="B134" s="20" t="s">
        <v>415</v>
      </c>
      <c r="C134" s="61"/>
      <c r="D134" s="98"/>
      <c r="E134" s="98">
        <f>SUM(E135:E138)</f>
        <v>501083.39</v>
      </c>
      <c r="F134" s="98">
        <f>SUM(F135:F138)</f>
        <v>501083.39</v>
      </c>
      <c r="G134" s="392">
        <f>SUM(G135:G138)</f>
        <v>501083.39</v>
      </c>
      <c r="H134" s="392">
        <f>SUM(H135:H138)</f>
        <v>501083.39</v>
      </c>
    </row>
    <row r="135" spans="1:8" ht="51" customHeight="1">
      <c r="A135" s="64" t="s">
        <v>665</v>
      </c>
      <c r="B135" s="22" t="s">
        <v>667</v>
      </c>
      <c r="C135" s="96">
        <v>200</v>
      </c>
      <c r="D135" s="97"/>
      <c r="E135" s="135">
        <v>261044.73</v>
      </c>
      <c r="F135" s="97">
        <v>261044.73</v>
      </c>
      <c r="G135" s="393">
        <v>261044.73</v>
      </c>
      <c r="H135" s="396">
        <v>261044.73</v>
      </c>
    </row>
    <row r="136" spans="1:8" ht="63">
      <c r="A136" s="64" t="s">
        <v>652</v>
      </c>
      <c r="B136" s="22" t="s">
        <v>668</v>
      </c>
      <c r="C136" s="96">
        <v>200</v>
      </c>
      <c r="D136" s="97"/>
      <c r="E136" s="135">
        <v>240038.66</v>
      </c>
      <c r="F136" s="97">
        <v>240038.66</v>
      </c>
      <c r="G136" s="393">
        <v>240038.66</v>
      </c>
      <c r="H136" s="396">
        <v>240038.66</v>
      </c>
    </row>
    <row r="137" spans="1:8" ht="81.75" customHeight="1">
      <c r="A137" s="64" t="s">
        <v>755</v>
      </c>
      <c r="B137" s="22" t="s">
        <v>754</v>
      </c>
      <c r="C137" s="96">
        <v>500</v>
      </c>
      <c r="D137" s="97"/>
      <c r="E137" s="97">
        <v>0</v>
      </c>
      <c r="F137" s="97">
        <v>0</v>
      </c>
      <c r="G137" s="396">
        <v>0</v>
      </c>
      <c r="H137" s="396">
        <v>0</v>
      </c>
    </row>
    <row r="138" spans="1:8" ht="82.5" customHeight="1">
      <c r="A138" s="64" t="s">
        <v>755</v>
      </c>
      <c r="B138" s="22" t="s">
        <v>754</v>
      </c>
      <c r="C138" s="96">
        <v>500</v>
      </c>
      <c r="D138" s="97"/>
      <c r="E138" s="97">
        <v>0</v>
      </c>
      <c r="F138" s="97">
        <v>0</v>
      </c>
      <c r="G138" s="396">
        <v>0</v>
      </c>
      <c r="H138" s="396">
        <v>0</v>
      </c>
    </row>
    <row r="139" spans="1:8" ht="31.5">
      <c r="A139" s="153" t="s">
        <v>909</v>
      </c>
      <c r="B139" s="20" t="s">
        <v>910</v>
      </c>
      <c r="C139" s="61"/>
      <c r="D139" s="98"/>
      <c r="E139" s="98">
        <f>SUM(E140:E141)</f>
        <v>1600000</v>
      </c>
      <c r="F139" s="98">
        <f>SUM(F140:F141)</f>
        <v>343500</v>
      </c>
      <c r="G139" s="392">
        <f>SUM(G140:G141)</f>
        <v>1600000</v>
      </c>
      <c r="H139" s="392">
        <f>SUM(H140:H141)</f>
        <v>1600000</v>
      </c>
    </row>
    <row r="140" spans="1:8" ht="49.5" customHeight="1">
      <c r="A140" s="64" t="s">
        <v>602</v>
      </c>
      <c r="B140" s="22" t="s">
        <v>911</v>
      </c>
      <c r="C140" s="96">
        <v>200</v>
      </c>
      <c r="D140" s="97"/>
      <c r="E140" s="135">
        <v>115836</v>
      </c>
      <c r="F140" s="97">
        <v>115836</v>
      </c>
      <c r="G140" s="393">
        <v>115836</v>
      </c>
      <c r="H140" s="396">
        <v>115836</v>
      </c>
    </row>
    <row r="141" spans="1:8" ht="63" customHeight="1">
      <c r="A141" s="69" t="s">
        <v>664</v>
      </c>
      <c r="B141" s="21" t="s">
        <v>912</v>
      </c>
      <c r="C141" s="62">
        <v>200</v>
      </c>
      <c r="D141" s="92"/>
      <c r="E141" s="135">
        <v>1484164</v>
      </c>
      <c r="F141" s="92">
        <v>227664</v>
      </c>
      <c r="G141" s="393">
        <v>1484164</v>
      </c>
      <c r="H141" s="395">
        <v>1484164</v>
      </c>
    </row>
    <row r="142" spans="1:8" ht="31.5">
      <c r="A142" s="153" t="s">
        <v>676</v>
      </c>
      <c r="B142" s="20" t="s">
        <v>416</v>
      </c>
      <c r="C142" s="61"/>
      <c r="D142" s="98" t="e">
        <f>SUM(#REF!)</f>
        <v>#REF!</v>
      </c>
      <c r="E142" s="98">
        <f>E143</f>
        <v>0</v>
      </c>
      <c r="F142" s="98">
        <f>F143</f>
        <v>0</v>
      </c>
      <c r="G142" s="392">
        <f>G143</f>
        <v>0</v>
      </c>
      <c r="H142" s="392">
        <f>H143</f>
        <v>0</v>
      </c>
    </row>
    <row r="143" spans="1:8" ht="15.75">
      <c r="A143" s="153" t="s">
        <v>418</v>
      </c>
      <c r="B143" s="20" t="s">
        <v>417</v>
      </c>
      <c r="C143" s="61"/>
      <c r="D143" s="98"/>
      <c r="E143" s="98">
        <f>SUM(E144:E144)</f>
        <v>0</v>
      </c>
      <c r="F143" s="98">
        <f>SUM(F144:F144)</f>
        <v>0</v>
      </c>
      <c r="G143" s="392">
        <f>SUM(G144:G144)</f>
        <v>0</v>
      </c>
      <c r="H143" s="392">
        <f>SUM(H144:H144)</f>
        <v>0</v>
      </c>
    </row>
    <row r="144" spans="1:8" ht="47.25">
      <c r="A144" s="64" t="s">
        <v>998</v>
      </c>
      <c r="B144" s="22" t="s">
        <v>1003</v>
      </c>
      <c r="C144" s="96">
        <v>300</v>
      </c>
      <c r="D144" s="97"/>
      <c r="E144" s="97">
        <v>0</v>
      </c>
      <c r="F144" s="97">
        <v>0</v>
      </c>
      <c r="G144" s="396">
        <v>0</v>
      </c>
      <c r="H144" s="396">
        <v>0</v>
      </c>
    </row>
    <row r="145" spans="1:8" ht="31.5">
      <c r="A145" s="153" t="s">
        <v>926</v>
      </c>
      <c r="B145" s="20" t="s">
        <v>648</v>
      </c>
      <c r="C145" s="61"/>
      <c r="D145" s="98">
        <f>SUM(D147:D148)</f>
        <v>223500</v>
      </c>
      <c r="E145" s="98">
        <f>E146</f>
        <v>2978103.62</v>
      </c>
      <c r="F145" s="98">
        <f>F146</f>
        <v>2978103.62</v>
      </c>
      <c r="G145" s="392">
        <f>G146</f>
        <v>2978103.62</v>
      </c>
      <c r="H145" s="392">
        <f>H146</f>
        <v>2978103.62</v>
      </c>
    </row>
    <row r="146" spans="1:8" ht="33" customHeight="1">
      <c r="A146" s="153" t="s">
        <v>1589</v>
      </c>
      <c r="B146" s="20" t="s">
        <v>649</v>
      </c>
      <c r="C146" s="61"/>
      <c r="D146" s="98"/>
      <c r="E146" s="98">
        <f>SUM(E147:E149)</f>
        <v>2978103.62</v>
      </c>
      <c r="F146" s="98">
        <f>SUM(F147:F149)</f>
        <v>2978103.62</v>
      </c>
      <c r="G146" s="392">
        <f>SUM(G147:G149)</f>
        <v>2978103.62</v>
      </c>
      <c r="H146" s="392">
        <f>SUM(H147:H149)</f>
        <v>2978103.62</v>
      </c>
    </row>
    <row r="147" spans="1:8" ht="47.25">
      <c r="A147" s="63" t="s">
        <v>1057</v>
      </c>
      <c r="B147" s="21" t="s">
        <v>669</v>
      </c>
      <c r="C147" s="62">
        <v>200</v>
      </c>
      <c r="D147" s="92">
        <v>223500</v>
      </c>
      <c r="E147" s="135">
        <v>1546853.1</v>
      </c>
      <c r="F147" s="92">
        <v>1546853.1</v>
      </c>
      <c r="G147" s="393">
        <v>1546853.1</v>
      </c>
      <c r="H147" s="395">
        <v>1546853.1</v>
      </c>
    </row>
    <row r="148" spans="1:8" ht="47.25">
      <c r="A148" s="63" t="s">
        <v>645</v>
      </c>
      <c r="B148" s="21" t="s">
        <v>670</v>
      </c>
      <c r="C148" s="62">
        <v>200</v>
      </c>
      <c r="D148" s="92"/>
      <c r="E148" s="135">
        <v>1235573.6</v>
      </c>
      <c r="F148" s="92">
        <v>1235573.6</v>
      </c>
      <c r="G148" s="393">
        <v>1235573.6</v>
      </c>
      <c r="H148" s="395">
        <v>1235573.6</v>
      </c>
    </row>
    <row r="149" spans="1:8" ht="63">
      <c r="A149" s="158" t="s">
        <v>1062</v>
      </c>
      <c r="B149" s="21" t="s">
        <v>1131</v>
      </c>
      <c r="C149" s="62">
        <v>800</v>
      </c>
      <c r="D149" s="92"/>
      <c r="E149" s="135">
        <v>195676.92</v>
      </c>
      <c r="F149" s="92">
        <v>195676.92</v>
      </c>
      <c r="G149" s="393">
        <v>195676.92</v>
      </c>
      <c r="H149" s="395">
        <v>195676.92</v>
      </c>
    </row>
    <row r="150" spans="1:8" ht="36.75" customHeight="1">
      <c r="A150" s="153" t="s">
        <v>666</v>
      </c>
      <c r="B150" s="20" t="s">
        <v>650</v>
      </c>
      <c r="C150" s="61"/>
      <c r="D150" s="98">
        <f>SUM(D162:D163)</f>
        <v>0</v>
      </c>
      <c r="E150" s="98">
        <f>E151</f>
        <v>404820</v>
      </c>
      <c r="F150" s="98">
        <f>F151</f>
        <v>404820</v>
      </c>
      <c r="G150" s="392">
        <f>G151</f>
        <v>404820</v>
      </c>
      <c r="H150" s="392">
        <f>H151</f>
        <v>404820</v>
      </c>
    </row>
    <row r="151" spans="1:8" ht="31.5">
      <c r="A151" s="153" t="s">
        <v>655</v>
      </c>
      <c r="B151" s="20" t="s">
        <v>651</v>
      </c>
      <c r="C151" s="61"/>
      <c r="D151" s="98"/>
      <c r="E151" s="98">
        <f>E152+E153+E154</f>
        <v>404820</v>
      </c>
      <c r="F151" s="98">
        <f>F152+F153+F154</f>
        <v>404820</v>
      </c>
      <c r="G151" s="392">
        <f>G152+G153+G154</f>
        <v>404820</v>
      </c>
      <c r="H151" s="392">
        <f>H152+H153+H154</f>
        <v>404820</v>
      </c>
    </row>
    <row r="152" spans="1:11" s="186" customFormat="1" ht="47.25">
      <c r="A152" s="64" t="s">
        <v>653</v>
      </c>
      <c r="B152" s="133" t="s">
        <v>671</v>
      </c>
      <c r="C152" s="134">
        <v>200</v>
      </c>
      <c r="D152" s="135"/>
      <c r="E152" s="135">
        <v>0</v>
      </c>
      <c r="F152" s="135">
        <v>0</v>
      </c>
      <c r="G152" s="393">
        <v>0</v>
      </c>
      <c r="H152" s="393">
        <v>0</v>
      </c>
      <c r="K152" s="476"/>
    </row>
    <row r="153" spans="1:11" s="186" customFormat="1" ht="78.75">
      <c r="A153" s="64" t="s">
        <v>741</v>
      </c>
      <c r="B153" s="133" t="s">
        <v>740</v>
      </c>
      <c r="C153" s="134">
        <v>500</v>
      </c>
      <c r="D153" s="135"/>
      <c r="E153" s="135">
        <v>0</v>
      </c>
      <c r="F153" s="135">
        <v>0</v>
      </c>
      <c r="G153" s="393">
        <v>0</v>
      </c>
      <c r="H153" s="393">
        <v>0</v>
      </c>
      <c r="K153" s="476"/>
    </row>
    <row r="154" spans="1:11" s="186" customFormat="1" ht="63">
      <c r="A154" s="158" t="s">
        <v>913</v>
      </c>
      <c r="B154" s="133" t="s">
        <v>672</v>
      </c>
      <c r="C154" s="134">
        <v>200</v>
      </c>
      <c r="D154" s="135"/>
      <c r="E154" s="135">
        <v>404820</v>
      </c>
      <c r="F154" s="135">
        <v>404820</v>
      </c>
      <c r="G154" s="393">
        <v>404820</v>
      </c>
      <c r="H154" s="393">
        <v>404820</v>
      </c>
      <c r="K154" s="476"/>
    </row>
    <row r="155" spans="1:11" s="186" customFormat="1" ht="36" customHeight="1">
      <c r="A155" s="153" t="s">
        <v>967</v>
      </c>
      <c r="B155" s="20" t="s">
        <v>927</v>
      </c>
      <c r="C155" s="121"/>
      <c r="D155" s="122"/>
      <c r="E155" s="122">
        <f>E156</f>
        <v>0</v>
      </c>
      <c r="F155" s="122">
        <f>F156</f>
        <v>0</v>
      </c>
      <c r="G155" s="394">
        <f>G156</f>
        <v>0</v>
      </c>
      <c r="H155" s="394">
        <f>H156</f>
        <v>0</v>
      </c>
      <c r="K155" s="476"/>
    </row>
    <row r="156" spans="1:11" s="186" customFormat="1" ht="32.25" customHeight="1">
      <c r="A156" s="153" t="s">
        <v>968</v>
      </c>
      <c r="B156" s="20" t="s">
        <v>928</v>
      </c>
      <c r="C156" s="121"/>
      <c r="D156" s="122"/>
      <c r="E156" s="122">
        <f>E157+E158</f>
        <v>0</v>
      </c>
      <c r="F156" s="122">
        <f>F157+F158</f>
        <v>0</v>
      </c>
      <c r="G156" s="394">
        <f>G157+G158</f>
        <v>0</v>
      </c>
      <c r="H156" s="394">
        <f>H157+H158</f>
        <v>0</v>
      </c>
      <c r="K156" s="476"/>
    </row>
    <row r="157" spans="1:11" s="186" customFormat="1" ht="47.25">
      <c r="A157" s="158" t="s">
        <v>969</v>
      </c>
      <c r="B157" s="133" t="s">
        <v>970</v>
      </c>
      <c r="C157" s="134">
        <v>200</v>
      </c>
      <c r="D157" s="135"/>
      <c r="E157" s="135"/>
      <c r="F157" s="135"/>
      <c r="G157" s="393"/>
      <c r="H157" s="393"/>
      <c r="K157" s="476"/>
    </row>
    <row r="158" spans="1:11" s="186" customFormat="1" ht="47.25">
      <c r="A158" s="158" t="s">
        <v>1010</v>
      </c>
      <c r="B158" s="133" t="s">
        <v>1042</v>
      </c>
      <c r="C158" s="134">
        <v>200</v>
      </c>
      <c r="D158" s="135"/>
      <c r="E158" s="135"/>
      <c r="F158" s="135"/>
      <c r="G158" s="393"/>
      <c r="H158" s="393"/>
      <c r="K158" s="476"/>
    </row>
    <row r="159" spans="1:11" s="186" customFormat="1" ht="47.25">
      <c r="A159" s="153" t="s">
        <v>1103</v>
      </c>
      <c r="B159" s="20" t="s">
        <v>1104</v>
      </c>
      <c r="C159" s="121"/>
      <c r="D159" s="135"/>
      <c r="E159" s="122">
        <f aca="true" t="shared" si="5" ref="E159:H160">E160</f>
        <v>4293828</v>
      </c>
      <c r="F159" s="122">
        <f t="shared" si="5"/>
        <v>4293828</v>
      </c>
      <c r="G159" s="394">
        <f t="shared" si="5"/>
        <v>6440742</v>
      </c>
      <c r="H159" s="394">
        <f t="shared" si="5"/>
        <v>1671654</v>
      </c>
      <c r="K159" s="476"/>
    </row>
    <row r="160" spans="1:11" s="186" customFormat="1" ht="47.25" customHeight="1">
      <c r="A160" s="153" t="s">
        <v>1105</v>
      </c>
      <c r="B160" s="20" t="s">
        <v>1106</v>
      </c>
      <c r="C160" s="121"/>
      <c r="D160" s="135"/>
      <c r="E160" s="122">
        <f t="shared" si="5"/>
        <v>4293828</v>
      </c>
      <c r="F160" s="122">
        <f t="shared" si="5"/>
        <v>4293828</v>
      </c>
      <c r="G160" s="394">
        <f t="shared" si="5"/>
        <v>6440742</v>
      </c>
      <c r="H160" s="394">
        <f t="shared" si="5"/>
        <v>1671654</v>
      </c>
      <c r="K160" s="476"/>
    </row>
    <row r="161" spans="1:11" s="186" customFormat="1" ht="69" customHeight="1">
      <c r="A161" s="158" t="s">
        <v>1058</v>
      </c>
      <c r="B161" s="133" t="s">
        <v>1228</v>
      </c>
      <c r="C161" s="134">
        <v>400</v>
      </c>
      <c r="D161" s="135"/>
      <c r="E161" s="135">
        <v>4293828</v>
      </c>
      <c r="F161" s="135">
        <v>4293828</v>
      </c>
      <c r="G161" s="393">
        <v>6440742</v>
      </c>
      <c r="H161" s="393">
        <v>1671654</v>
      </c>
      <c r="K161" s="476"/>
    </row>
    <row r="162" spans="1:8" ht="31.5">
      <c r="A162" s="152" t="s">
        <v>660</v>
      </c>
      <c r="B162" s="23" t="s">
        <v>419</v>
      </c>
      <c r="C162" s="217"/>
      <c r="D162" s="157">
        <f>D163+D166</f>
        <v>0</v>
      </c>
      <c r="E162" s="157">
        <f>E163+E166</f>
        <v>863721</v>
      </c>
      <c r="F162" s="157">
        <f>F163+F166</f>
        <v>450000</v>
      </c>
      <c r="G162" s="391">
        <f>G163+G166</f>
        <v>863721</v>
      </c>
      <c r="H162" s="391">
        <f>H163+H166</f>
        <v>450000</v>
      </c>
    </row>
    <row r="163" spans="1:8" ht="31.5">
      <c r="A163" s="153" t="s">
        <v>677</v>
      </c>
      <c r="B163" s="20" t="s">
        <v>420</v>
      </c>
      <c r="C163" s="61"/>
      <c r="D163" s="98">
        <f>D165</f>
        <v>0</v>
      </c>
      <c r="E163" s="98">
        <f aca="true" t="shared" si="6" ref="E163:H164">E164</f>
        <v>250000</v>
      </c>
      <c r="F163" s="98">
        <f t="shared" si="6"/>
        <v>250000</v>
      </c>
      <c r="G163" s="392">
        <f t="shared" si="6"/>
        <v>250000</v>
      </c>
      <c r="H163" s="392">
        <f t="shared" si="6"/>
        <v>250000</v>
      </c>
    </row>
    <row r="164" spans="1:8" ht="20.25" customHeight="1">
      <c r="A164" s="153" t="s">
        <v>425</v>
      </c>
      <c r="B164" s="20" t="s">
        <v>421</v>
      </c>
      <c r="C164" s="61"/>
      <c r="D164" s="98"/>
      <c r="E164" s="98">
        <f t="shared" si="6"/>
        <v>250000</v>
      </c>
      <c r="F164" s="98">
        <f t="shared" si="6"/>
        <v>250000</v>
      </c>
      <c r="G164" s="392">
        <f t="shared" si="6"/>
        <v>250000</v>
      </c>
      <c r="H164" s="392">
        <f t="shared" si="6"/>
        <v>250000</v>
      </c>
    </row>
    <row r="165" spans="1:8" ht="63">
      <c r="A165" s="63" t="s">
        <v>673</v>
      </c>
      <c r="B165" s="21" t="s">
        <v>422</v>
      </c>
      <c r="C165" s="62">
        <v>200</v>
      </c>
      <c r="D165" s="92"/>
      <c r="E165" s="135">
        <v>250000</v>
      </c>
      <c r="F165" s="92">
        <v>250000</v>
      </c>
      <c r="G165" s="393">
        <v>250000</v>
      </c>
      <c r="H165" s="395">
        <v>250000</v>
      </c>
    </row>
    <row r="166" spans="1:8" ht="31.5">
      <c r="A166" s="153" t="s">
        <v>678</v>
      </c>
      <c r="B166" s="20" t="s">
        <v>423</v>
      </c>
      <c r="C166" s="61"/>
      <c r="D166" s="98">
        <f>D168</f>
        <v>0</v>
      </c>
      <c r="E166" s="98">
        <f>E167</f>
        <v>613721</v>
      </c>
      <c r="F166" s="98">
        <f>F167</f>
        <v>200000</v>
      </c>
      <c r="G166" s="392">
        <f>G167</f>
        <v>613721</v>
      </c>
      <c r="H166" s="392">
        <f>H167</f>
        <v>200000</v>
      </c>
    </row>
    <row r="167" spans="1:8" ht="31.5">
      <c r="A167" s="153" t="s">
        <v>915</v>
      </c>
      <c r="B167" s="20" t="s">
        <v>424</v>
      </c>
      <c r="C167" s="61"/>
      <c r="D167" s="98"/>
      <c r="E167" s="98">
        <f>E168+E169</f>
        <v>613721</v>
      </c>
      <c r="F167" s="98">
        <f>F168+F169</f>
        <v>200000</v>
      </c>
      <c r="G167" s="392">
        <f>G168+G169</f>
        <v>613721</v>
      </c>
      <c r="H167" s="392">
        <f>H168+H169</f>
        <v>200000</v>
      </c>
    </row>
    <row r="168" spans="1:8" ht="48.75" customHeight="1">
      <c r="A168" s="63" t="s">
        <v>916</v>
      </c>
      <c r="B168" s="21" t="s">
        <v>426</v>
      </c>
      <c r="C168" s="62">
        <v>200</v>
      </c>
      <c r="D168" s="92"/>
      <c r="E168" s="135">
        <v>164120</v>
      </c>
      <c r="F168" s="92">
        <v>125000</v>
      </c>
      <c r="G168" s="393">
        <v>164120</v>
      </c>
      <c r="H168" s="395">
        <v>125000</v>
      </c>
    </row>
    <row r="169" spans="1:8" ht="47.25">
      <c r="A169" s="63" t="s">
        <v>917</v>
      </c>
      <c r="B169" s="21" t="s">
        <v>919</v>
      </c>
      <c r="C169" s="62">
        <v>200</v>
      </c>
      <c r="D169" s="92"/>
      <c r="E169" s="135">
        <v>449601</v>
      </c>
      <c r="F169" s="92">
        <v>75000</v>
      </c>
      <c r="G169" s="393">
        <v>449601</v>
      </c>
      <c r="H169" s="395">
        <v>75000</v>
      </c>
    </row>
    <row r="170" spans="1:8" ht="31.5">
      <c r="A170" s="152" t="s">
        <v>661</v>
      </c>
      <c r="B170" s="23" t="s">
        <v>427</v>
      </c>
      <c r="C170" s="217"/>
      <c r="D170" s="157" t="e">
        <f>D171+D184+D218</f>
        <v>#REF!</v>
      </c>
      <c r="E170" s="157">
        <f>E171+E184+E218</f>
        <v>222653999.65</v>
      </c>
      <c r="F170" s="157">
        <f>F171+F184+F218</f>
        <v>215890357.67000002</v>
      </c>
      <c r="G170" s="391">
        <f>G171+G184+G218</f>
        <v>209061409.67000002</v>
      </c>
      <c r="H170" s="391">
        <f>H171+H184+H218</f>
        <v>209061409.67000002</v>
      </c>
    </row>
    <row r="171" spans="1:8" ht="18.75" customHeight="1">
      <c r="A171" s="153" t="s">
        <v>428</v>
      </c>
      <c r="B171" s="20" t="s">
        <v>429</v>
      </c>
      <c r="C171" s="61"/>
      <c r="D171" s="98">
        <f>SUM(D173:D183)</f>
        <v>5093368</v>
      </c>
      <c r="E171" s="98">
        <f>E172</f>
        <v>80272896.34</v>
      </c>
      <c r="F171" s="98">
        <f>F172</f>
        <v>80272896.34</v>
      </c>
      <c r="G171" s="392">
        <f>G172</f>
        <v>80272896.34</v>
      </c>
      <c r="H171" s="392">
        <f>H172</f>
        <v>80272896.34</v>
      </c>
    </row>
    <row r="172" spans="1:8" ht="39" customHeight="1">
      <c r="A172" s="153" t="s">
        <v>929</v>
      </c>
      <c r="B172" s="20" t="s">
        <v>430</v>
      </c>
      <c r="C172" s="61"/>
      <c r="D172" s="98"/>
      <c r="E172" s="98">
        <f>SUM(E173:E183)</f>
        <v>80272896.34</v>
      </c>
      <c r="F172" s="98">
        <f>SUM(F173:F183)</f>
        <v>80272896.34</v>
      </c>
      <c r="G172" s="392">
        <f>SUM(G173:G183)</f>
        <v>80272896.34</v>
      </c>
      <c r="H172" s="392">
        <f>SUM(H173:H183)</f>
        <v>80272896.34</v>
      </c>
    </row>
    <row r="173" spans="1:8" ht="65.25" customHeight="1">
      <c r="A173" s="63" t="s">
        <v>431</v>
      </c>
      <c r="B173" s="21" t="s">
        <v>432</v>
      </c>
      <c r="C173" s="62">
        <v>600</v>
      </c>
      <c r="D173" s="92">
        <v>500000</v>
      </c>
      <c r="E173" s="135">
        <v>3743425.6</v>
      </c>
      <c r="F173" s="92">
        <v>3743425.6</v>
      </c>
      <c r="G173" s="393">
        <v>3743425.6</v>
      </c>
      <c r="H173" s="395">
        <v>3743425.6</v>
      </c>
    </row>
    <row r="174" spans="1:8" ht="99" customHeight="1">
      <c r="A174" s="63" t="s">
        <v>698</v>
      </c>
      <c r="B174" s="21" t="s">
        <v>706</v>
      </c>
      <c r="C174" s="62">
        <v>600</v>
      </c>
      <c r="D174" s="92"/>
      <c r="E174" s="135">
        <v>11006249.37</v>
      </c>
      <c r="F174" s="92">
        <v>11006249.37</v>
      </c>
      <c r="G174" s="393">
        <v>11006249.37</v>
      </c>
      <c r="H174" s="395">
        <v>11006249.37</v>
      </c>
    </row>
    <row r="175" spans="1:8" ht="66" customHeight="1">
      <c r="A175" s="221" t="s">
        <v>1149</v>
      </c>
      <c r="B175" s="21" t="s">
        <v>1144</v>
      </c>
      <c r="C175" s="62">
        <v>600</v>
      </c>
      <c r="D175" s="92"/>
      <c r="E175" s="135">
        <v>50000</v>
      </c>
      <c r="F175" s="92">
        <v>50000</v>
      </c>
      <c r="G175" s="393">
        <v>50000</v>
      </c>
      <c r="H175" s="395">
        <v>50000</v>
      </c>
    </row>
    <row r="176" spans="1:8" ht="78.75">
      <c r="A176" s="63" t="s">
        <v>1370</v>
      </c>
      <c r="B176" s="21" t="s">
        <v>707</v>
      </c>
      <c r="C176" s="62">
        <v>600</v>
      </c>
      <c r="D176" s="92"/>
      <c r="E176" s="135">
        <v>7189583.41</v>
      </c>
      <c r="F176" s="92">
        <v>7189583.41</v>
      </c>
      <c r="G176" s="393">
        <v>7189583.41</v>
      </c>
      <c r="H176" s="395">
        <v>7189583.41</v>
      </c>
    </row>
    <row r="177" spans="1:8" ht="78.75">
      <c r="A177" s="63" t="s">
        <v>701</v>
      </c>
      <c r="B177" s="21" t="s">
        <v>708</v>
      </c>
      <c r="C177" s="62">
        <v>600</v>
      </c>
      <c r="D177" s="92"/>
      <c r="E177" s="92"/>
      <c r="F177" s="92"/>
      <c r="G177" s="395"/>
      <c r="H177" s="395"/>
    </row>
    <row r="178" spans="1:8" ht="86.25" customHeight="1">
      <c r="A178" s="63" t="s">
        <v>700</v>
      </c>
      <c r="B178" s="21" t="s">
        <v>709</v>
      </c>
      <c r="C178" s="62">
        <v>600</v>
      </c>
      <c r="D178" s="92"/>
      <c r="E178" s="135">
        <v>6085290.54</v>
      </c>
      <c r="F178" s="92">
        <v>6085290.54</v>
      </c>
      <c r="G178" s="393">
        <v>6085290.54</v>
      </c>
      <c r="H178" s="395">
        <v>6085290.54</v>
      </c>
    </row>
    <row r="179" spans="1:8" ht="63">
      <c r="A179" s="63" t="s">
        <v>433</v>
      </c>
      <c r="B179" s="21" t="s">
        <v>434</v>
      </c>
      <c r="C179" s="62">
        <v>600</v>
      </c>
      <c r="D179" s="92"/>
      <c r="E179" s="135">
        <v>5906304.72</v>
      </c>
      <c r="F179" s="92">
        <v>5906304.72</v>
      </c>
      <c r="G179" s="393">
        <v>5906304.72</v>
      </c>
      <c r="H179" s="395">
        <v>5906304.72</v>
      </c>
    </row>
    <row r="180" spans="1:8" ht="83.25" customHeight="1">
      <c r="A180" s="63" t="s">
        <v>1030</v>
      </c>
      <c r="B180" s="21" t="s">
        <v>1029</v>
      </c>
      <c r="C180" s="62">
        <v>600</v>
      </c>
      <c r="D180" s="92"/>
      <c r="E180" s="92"/>
      <c r="F180" s="92"/>
      <c r="G180" s="395"/>
      <c r="H180" s="395"/>
    </row>
    <row r="181" spans="1:8" ht="126" customHeight="1">
      <c r="A181" s="224" t="s">
        <v>726</v>
      </c>
      <c r="B181" s="21" t="s">
        <v>436</v>
      </c>
      <c r="C181" s="62">
        <v>600</v>
      </c>
      <c r="D181" s="92">
        <v>-875880</v>
      </c>
      <c r="E181" s="92">
        <v>293256</v>
      </c>
      <c r="F181" s="92">
        <v>293256</v>
      </c>
      <c r="G181" s="395">
        <v>293256</v>
      </c>
      <c r="H181" s="395">
        <v>293256</v>
      </c>
    </row>
    <row r="182" spans="1:8" ht="78" customHeight="1">
      <c r="A182" s="272" t="s">
        <v>725</v>
      </c>
      <c r="B182" s="21" t="s">
        <v>1346</v>
      </c>
      <c r="C182" s="62">
        <v>300</v>
      </c>
      <c r="D182" s="92"/>
      <c r="E182" s="135">
        <v>1130892.7</v>
      </c>
      <c r="F182" s="135">
        <v>1130892.7</v>
      </c>
      <c r="G182" s="393">
        <v>1130892.7</v>
      </c>
      <c r="H182" s="393">
        <v>1130892.7</v>
      </c>
    </row>
    <row r="183" spans="1:8" ht="126.75" customHeight="1">
      <c r="A183" s="69" t="s">
        <v>1377</v>
      </c>
      <c r="B183" s="21" t="s">
        <v>437</v>
      </c>
      <c r="C183" s="62">
        <v>600</v>
      </c>
      <c r="D183" s="92">
        <v>5469248</v>
      </c>
      <c r="E183" s="92">
        <v>44867894</v>
      </c>
      <c r="F183" s="92">
        <v>44867894</v>
      </c>
      <c r="G183" s="395">
        <v>44867894</v>
      </c>
      <c r="H183" s="395">
        <v>44867894</v>
      </c>
    </row>
    <row r="184" spans="1:8" ht="31.5">
      <c r="A184" s="128" t="s">
        <v>438</v>
      </c>
      <c r="B184" s="20" t="s">
        <v>439</v>
      </c>
      <c r="C184" s="61"/>
      <c r="D184" s="98">
        <f>SUM(D186:D214)</f>
        <v>987111</v>
      </c>
      <c r="E184" s="98">
        <f>E185+E215</f>
        <v>137337843.06</v>
      </c>
      <c r="F184" s="98">
        <f>F185+F215</f>
        <v>130574201.08000001</v>
      </c>
      <c r="G184" s="392">
        <f>G185+G215</f>
        <v>123745253.08000001</v>
      </c>
      <c r="H184" s="392">
        <f>H185+H215</f>
        <v>123745253.08000001</v>
      </c>
    </row>
    <row r="185" spans="1:8" ht="31.5">
      <c r="A185" s="226" t="s">
        <v>947</v>
      </c>
      <c r="B185" s="20" t="s">
        <v>440</v>
      </c>
      <c r="C185" s="61"/>
      <c r="D185" s="98"/>
      <c r="E185" s="98">
        <f>SUM(E186:E214)</f>
        <v>137186129.06</v>
      </c>
      <c r="F185" s="98">
        <f>SUM(F186:F214)</f>
        <v>130422487.08000001</v>
      </c>
      <c r="G185" s="392">
        <f>SUM(G186:G214)</f>
        <v>123593539.08000001</v>
      </c>
      <c r="H185" s="392">
        <f>SUM(H186:H214)</f>
        <v>123593539.08000001</v>
      </c>
    </row>
    <row r="186" spans="1:8" ht="63">
      <c r="A186" s="69" t="s">
        <v>441</v>
      </c>
      <c r="B186" s="21" t="s">
        <v>442</v>
      </c>
      <c r="C186" s="62">
        <v>600</v>
      </c>
      <c r="D186" s="92"/>
      <c r="E186" s="92">
        <v>6510044.79</v>
      </c>
      <c r="F186" s="92">
        <v>6510272.53</v>
      </c>
      <c r="G186" s="395">
        <v>6510272.53</v>
      </c>
      <c r="H186" s="395">
        <v>6510272.53</v>
      </c>
    </row>
    <row r="187" spans="1:8" ht="94.5">
      <c r="A187" s="69" t="s">
        <v>702</v>
      </c>
      <c r="B187" s="21" t="s">
        <v>710</v>
      </c>
      <c r="C187" s="62">
        <v>600</v>
      </c>
      <c r="D187" s="92"/>
      <c r="E187" s="92">
        <v>6193210.77</v>
      </c>
      <c r="F187" s="92">
        <v>6193210.77</v>
      </c>
      <c r="G187" s="395">
        <v>6193210.77</v>
      </c>
      <c r="H187" s="395">
        <v>6193210.77</v>
      </c>
    </row>
    <row r="188" spans="1:8" ht="63.75" customHeight="1">
      <c r="A188" s="69" t="s">
        <v>703</v>
      </c>
      <c r="B188" s="21" t="s">
        <v>711</v>
      </c>
      <c r="C188" s="62">
        <v>600</v>
      </c>
      <c r="D188" s="92"/>
      <c r="E188" s="92">
        <v>7436808.27</v>
      </c>
      <c r="F188" s="92">
        <v>7436808.27</v>
      </c>
      <c r="G188" s="395">
        <v>7436808.27</v>
      </c>
      <c r="H188" s="395">
        <v>7436808.27</v>
      </c>
    </row>
    <row r="189" spans="1:8" ht="63" customHeight="1">
      <c r="A189" s="69" t="s">
        <v>1151</v>
      </c>
      <c r="B189" s="21" t="s">
        <v>1146</v>
      </c>
      <c r="C189" s="62">
        <v>600</v>
      </c>
      <c r="D189" s="92"/>
      <c r="E189" s="92">
        <v>535135.19</v>
      </c>
      <c r="F189" s="92">
        <v>535135.19</v>
      </c>
      <c r="G189" s="395">
        <v>535135.19</v>
      </c>
      <c r="H189" s="395">
        <v>535135.19</v>
      </c>
    </row>
    <row r="190" spans="1:8" ht="78.75">
      <c r="A190" s="69" t="s">
        <v>704</v>
      </c>
      <c r="B190" s="21" t="s">
        <v>712</v>
      </c>
      <c r="C190" s="62">
        <v>600</v>
      </c>
      <c r="D190" s="92"/>
      <c r="E190" s="92"/>
      <c r="F190" s="92"/>
      <c r="G190" s="395"/>
      <c r="H190" s="395"/>
    </row>
    <row r="191" spans="1:8" ht="81" customHeight="1">
      <c r="A191" s="69" t="s">
        <v>705</v>
      </c>
      <c r="B191" s="21" t="s">
        <v>713</v>
      </c>
      <c r="C191" s="62">
        <v>600</v>
      </c>
      <c r="D191" s="92"/>
      <c r="E191" s="92">
        <v>6864666.73</v>
      </c>
      <c r="F191" s="92">
        <v>6864666.73</v>
      </c>
      <c r="G191" s="395">
        <v>6864666.73</v>
      </c>
      <c r="H191" s="395">
        <v>6864666.73</v>
      </c>
    </row>
    <row r="192" spans="1:8" ht="48" customHeight="1">
      <c r="A192" s="154" t="s">
        <v>571</v>
      </c>
      <c r="B192" s="21" t="s">
        <v>572</v>
      </c>
      <c r="C192" s="62">
        <v>600</v>
      </c>
      <c r="D192" s="92"/>
      <c r="E192" s="92">
        <v>1744200</v>
      </c>
      <c r="F192" s="92">
        <v>1744200</v>
      </c>
      <c r="G192" s="395">
        <v>1744200</v>
      </c>
      <c r="H192" s="395">
        <v>1744200</v>
      </c>
    </row>
    <row r="193" spans="1:8" ht="78.75">
      <c r="A193" s="225" t="s">
        <v>1044</v>
      </c>
      <c r="B193" s="21" t="s">
        <v>991</v>
      </c>
      <c r="C193" s="62">
        <v>600</v>
      </c>
      <c r="D193" s="92"/>
      <c r="E193" s="92"/>
      <c r="F193" s="92"/>
      <c r="G193" s="395"/>
      <c r="H193" s="395"/>
    </row>
    <row r="194" spans="1:8" ht="63" customHeight="1">
      <c r="A194" s="225" t="s">
        <v>1043</v>
      </c>
      <c r="B194" s="21" t="s">
        <v>991</v>
      </c>
      <c r="C194" s="62">
        <v>200</v>
      </c>
      <c r="D194" s="92"/>
      <c r="E194" s="92"/>
      <c r="F194" s="92"/>
      <c r="G194" s="395"/>
      <c r="H194" s="395"/>
    </row>
    <row r="195" spans="1:8" ht="69" customHeight="1">
      <c r="A195" s="221" t="s">
        <v>1481</v>
      </c>
      <c r="B195" s="21" t="s">
        <v>1480</v>
      </c>
      <c r="C195" s="62">
        <v>600</v>
      </c>
      <c r="D195" s="92"/>
      <c r="E195" s="92">
        <v>0</v>
      </c>
      <c r="F195" s="92"/>
      <c r="G195" s="395"/>
      <c r="H195" s="395"/>
    </row>
    <row r="196" spans="1:8" ht="64.5" customHeight="1">
      <c r="A196" s="221" t="s">
        <v>1492</v>
      </c>
      <c r="B196" s="21" t="s">
        <v>1508</v>
      </c>
      <c r="C196" s="62">
        <v>600</v>
      </c>
      <c r="D196" s="92"/>
      <c r="E196" s="135">
        <f>2254547.32+227.74</f>
        <v>2254775.06</v>
      </c>
      <c r="F196" s="92"/>
      <c r="G196" s="395"/>
      <c r="H196" s="395"/>
    </row>
    <row r="197" spans="1:8" ht="81" customHeight="1">
      <c r="A197" s="69" t="s">
        <v>443</v>
      </c>
      <c r="B197" s="21" t="s">
        <v>444</v>
      </c>
      <c r="C197" s="62">
        <v>100</v>
      </c>
      <c r="D197" s="92"/>
      <c r="E197" s="92">
        <v>5582697.84</v>
      </c>
      <c r="F197" s="92">
        <v>5582697.84</v>
      </c>
      <c r="G197" s="395">
        <v>5582697.84</v>
      </c>
      <c r="H197" s="395">
        <v>5582697.84</v>
      </c>
    </row>
    <row r="198" spans="1:8" ht="47.25">
      <c r="A198" s="69" t="s">
        <v>603</v>
      </c>
      <c r="B198" s="21" t="s">
        <v>444</v>
      </c>
      <c r="C198" s="62">
        <v>200</v>
      </c>
      <c r="D198" s="92">
        <v>-745000</v>
      </c>
      <c r="E198" s="92">
        <v>9970553.27</v>
      </c>
      <c r="F198" s="92">
        <v>9971008.73</v>
      </c>
      <c r="G198" s="395">
        <v>9971008.73</v>
      </c>
      <c r="H198" s="395">
        <v>9971008.73</v>
      </c>
    </row>
    <row r="199" spans="1:8" ht="31.5">
      <c r="A199" s="69" t="s">
        <v>445</v>
      </c>
      <c r="B199" s="21" t="s">
        <v>444</v>
      </c>
      <c r="C199" s="62">
        <v>800</v>
      </c>
      <c r="D199" s="92"/>
      <c r="E199" s="92">
        <v>202935.92</v>
      </c>
      <c r="F199" s="92">
        <v>202935.92</v>
      </c>
      <c r="G199" s="395">
        <v>202935.92</v>
      </c>
      <c r="H199" s="395">
        <v>202935.92</v>
      </c>
    </row>
    <row r="200" spans="1:8" ht="47.25">
      <c r="A200" s="154" t="s">
        <v>604</v>
      </c>
      <c r="B200" s="21" t="s">
        <v>573</v>
      </c>
      <c r="C200" s="62">
        <v>200</v>
      </c>
      <c r="D200" s="92"/>
      <c r="E200" s="92">
        <v>323000</v>
      </c>
      <c r="F200" s="92">
        <v>323000</v>
      </c>
      <c r="G200" s="395">
        <v>323000</v>
      </c>
      <c r="H200" s="395">
        <v>323000</v>
      </c>
    </row>
    <row r="201" spans="1:8" ht="51" customHeight="1">
      <c r="A201" s="69" t="s">
        <v>605</v>
      </c>
      <c r="B201" s="21" t="s">
        <v>446</v>
      </c>
      <c r="C201" s="62">
        <v>200</v>
      </c>
      <c r="D201" s="92">
        <v>745000</v>
      </c>
      <c r="E201" s="92">
        <v>1400000</v>
      </c>
      <c r="F201" s="92">
        <v>1400000</v>
      </c>
      <c r="G201" s="395">
        <v>1400000</v>
      </c>
      <c r="H201" s="395">
        <v>1400000</v>
      </c>
    </row>
    <row r="202" spans="1:8" ht="51.75" customHeight="1">
      <c r="A202" s="221" t="s">
        <v>1478</v>
      </c>
      <c r="B202" s="21" t="s">
        <v>1479</v>
      </c>
      <c r="C202" s="62">
        <v>200</v>
      </c>
      <c r="D202" s="92"/>
      <c r="E202" s="92">
        <v>0</v>
      </c>
      <c r="F202" s="92"/>
      <c r="G202" s="395"/>
      <c r="H202" s="395"/>
    </row>
    <row r="203" spans="1:8" ht="51.75" customHeight="1">
      <c r="A203" s="221" t="s">
        <v>1491</v>
      </c>
      <c r="B203" s="21" t="s">
        <v>1508</v>
      </c>
      <c r="C203" s="62">
        <v>200</v>
      </c>
      <c r="D203" s="92"/>
      <c r="E203" s="135">
        <f>4509094.66+455.46</f>
        <v>4509550.12</v>
      </c>
      <c r="F203" s="92"/>
      <c r="G203" s="395"/>
      <c r="H203" s="395"/>
    </row>
    <row r="204" spans="1:8" ht="51.75" customHeight="1">
      <c r="A204" s="69" t="s">
        <v>607</v>
      </c>
      <c r="B204" s="21" t="s">
        <v>1543</v>
      </c>
      <c r="C204" s="62">
        <v>200</v>
      </c>
      <c r="D204" s="92"/>
      <c r="E204" s="135">
        <v>71148</v>
      </c>
      <c r="F204" s="92">
        <v>71148</v>
      </c>
      <c r="G204" s="395"/>
      <c r="H204" s="395"/>
    </row>
    <row r="205" spans="1:8" ht="51.75" customHeight="1">
      <c r="A205" s="69" t="s">
        <v>607</v>
      </c>
      <c r="B205" s="21" t="s">
        <v>1543</v>
      </c>
      <c r="C205" s="62">
        <v>200</v>
      </c>
      <c r="D205" s="92"/>
      <c r="E205" s="135">
        <v>28875</v>
      </c>
      <c r="F205" s="92">
        <v>28875</v>
      </c>
      <c r="G205" s="395"/>
      <c r="H205" s="395"/>
    </row>
    <row r="206" spans="1:8" ht="66.75" customHeight="1">
      <c r="A206" s="223" t="s">
        <v>1486</v>
      </c>
      <c r="B206" s="21" t="s">
        <v>1543</v>
      </c>
      <c r="C206" s="62">
        <v>600</v>
      </c>
      <c r="D206" s="92"/>
      <c r="E206" s="135">
        <v>428505</v>
      </c>
      <c r="F206" s="92">
        <v>428505</v>
      </c>
      <c r="G206" s="395"/>
      <c r="H206" s="395"/>
    </row>
    <row r="207" spans="1:8" ht="83.25" customHeight="1">
      <c r="A207" s="63" t="s">
        <v>887</v>
      </c>
      <c r="B207" s="21" t="s">
        <v>1544</v>
      </c>
      <c r="C207" s="62">
        <v>600</v>
      </c>
      <c r="D207" s="92"/>
      <c r="E207" s="135">
        <v>50820</v>
      </c>
      <c r="F207" s="92">
        <v>50820</v>
      </c>
      <c r="G207" s="395"/>
      <c r="H207" s="395"/>
    </row>
    <row r="208" spans="1:8" ht="96.75" customHeight="1">
      <c r="A208" s="63" t="s">
        <v>727</v>
      </c>
      <c r="B208" s="21" t="s">
        <v>447</v>
      </c>
      <c r="C208" s="62">
        <v>200</v>
      </c>
      <c r="D208" s="92">
        <v>-370500</v>
      </c>
      <c r="E208" s="92">
        <v>35942</v>
      </c>
      <c r="F208" s="92">
        <v>35942</v>
      </c>
      <c r="G208" s="395">
        <v>35942</v>
      </c>
      <c r="H208" s="395">
        <v>35942</v>
      </c>
    </row>
    <row r="209" spans="1:8" ht="94.5">
      <c r="A209" s="63" t="s">
        <v>725</v>
      </c>
      <c r="B209" s="21" t="s">
        <v>615</v>
      </c>
      <c r="C209" s="62">
        <v>300</v>
      </c>
      <c r="D209" s="92"/>
      <c r="E209" s="135">
        <v>86620.1</v>
      </c>
      <c r="F209" s="135">
        <v>86620.1</v>
      </c>
      <c r="G209" s="393">
        <v>86620.1</v>
      </c>
      <c r="H209" s="393">
        <v>86620.1</v>
      </c>
    </row>
    <row r="210" spans="1:8" ht="141.75" customHeight="1">
      <c r="A210" s="69" t="s">
        <v>1573</v>
      </c>
      <c r="B210" s="21" t="s">
        <v>1588</v>
      </c>
      <c r="C210" s="62">
        <v>100</v>
      </c>
      <c r="D210" s="92"/>
      <c r="E210" s="253">
        <v>1406160</v>
      </c>
      <c r="F210" s="253">
        <v>1406160</v>
      </c>
      <c r="G210" s="393"/>
      <c r="H210" s="393"/>
    </row>
    <row r="211" spans="1:8" ht="111.75" customHeight="1">
      <c r="A211" s="69" t="s">
        <v>1575</v>
      </c>
      <c r="B211" s="21" t="s">
        <v>1588</v>
      </c>
      <c r="C211" s="62">
        <v>600</v>
      </c>
      <c r="D211" s="92"/>
      <c r="E211" s="253">
        <v>4843440</v>
      </c>
      <c r="F211" s="253">
        <v>4843440</v>
      </c>
      <c r="G211" s="393"/>
      <c r="H211" s="393"/>
    </row>
    <row r="212" spans="1:8" ht="177" customHeight="1">
      <c r="A212" s="69" t="s">
        <v>728</v>
      </c>
      <c r="B212" s="21" t="s">
        <v>448</v>
      </c>
      <c r="C212" s="62">
        <v>100</v>
      </c>
      <c r="D212" s="92"/>
      <c r="E212" s="92">
        <v>14929201</v>
      </c>
      <c r="F212" s="92">
        <v>14929201</v>
      </c>
      <c r="G212" s="395">
        <v>14929201</v>
      </c>
      <c r="H212" s="395">
        <v>14929201</v>
      </c>
    </row>
    <row r="213" spans="1:8" ht="145.5" customHeight="1">
      <c r="A213" s="69" t="s">
        <v>729</v>
      </c>
      <c r="B213" s="21" t="s">
        <v>448</v>
      </c>
      <c r="C213" s="62">
        <v>200</v>
      </c>
      <c r="D213" s="92"/>
      <c r="E213" s="92">
        <v>162328</v>
      </c>
      <c r="F213" s="92">
        <v>162328</v>
      </c>
      <c r="G213" s="395">
        <v>162328</v>
      </c>
      <c r="H213" s="395">
        <v>162328</v>
      </c>
    </row>
    <row r="214" spans="1:8" ht="156.75" customHeight="1">
      <c r="A214" s="69" t="s">
        <v>730</v>
      </c>
      <c r="B214" s="21" t="s">
        <v>448</v>
      </c>
      <c r="C214" s="62">
        <v>600</v>
      </c>
      <c r="D214" s="92">
        <v>1357611</v>
      </c>
      <c r="E214" s="92">
        <v>61615512</v>
      </c>
      <c r="F214" s="92">
        <v>61615512</v>
      </c>
      <c r="G214" s="395">
        <v>61615512</v>
      </c>
      <c r="H214" s="395">
        <v>61615512</v>
      </c>
    </row>
    <row r="215" spans="1:8" ht="31.5">
      <c r="A215" s="226" t="s">
        <v>948</v>
      </c>
      <c r="B215" s="120" t="s">
        <v>862</v>
      </c>
      <c r="C215" s="121"/>
      <c r="D215" s="122"/>
      <c r="E215" s="122">
        <f>E216+E217</f>
        <v>151714</v>
      </c>
      <c r="F215" s="122">
        <f>F216+F217</f>
        <v>151714</v>
      </c>
      <c r="G215" s="394">
        <f>G216+G217</f>
        <v>151714</v>
      </c>
      <c r="H215" s="394">
        <f>H216+H217</f>
        <v>151714</v>
      </c>
    </row>
    <row r="216" spans="1:8" ht="63" hidden="1">
      <c r="A216" s="69" t="s">
        <v>997</v>
      </c>
      <c r="B216" s="21" t="s">
        <v>1007</v>
      </c>
      <c r="C216" s="62">
        <v>600</v>
      </c>
      <c r="D216" s="92"/>
      <c r="E216" s="92"/>
      <c r="F216" s="92"/>
      <c r="G216" s="395"/>
      <c r="H216" s="395"/>
    </row>
    <row r="217" spans="1:8" ht="63">
      <c r="A217" s="69" t="s">
        <v>997</v>
      </c>
      <c r="B217" s="21" t="s">
        <v>1008</v>
      </c>
      <c r="C217" s="62">
        <v>600</v>
      </c>
      <c r="D217" s="92"/>
      <c r="E217" s="92">
        <v>151714</v>
      </c>
      <c r="F217" s="92">
        <v>151714</v>
      </c>
      <c r="G217" s="395">
        <v>151714</v>
      </c>
      <c r="H217" s="395">
        <v>151714</v>
      </c>
    </row>
    <row r="218" spans="1:8" ht="31.5">
      <c r="A218" s="128" t="s">
        <v>449</v>
      </c>
      <c r="B218" s="20" t="s">
        <v>450</v>
      </c>
      <c r="C218" s="61"/>
      <c r="D218" s="98" t="e">
        <f>D220+#REF!+D223</f>
        <v>#REF!</v>
      </c>
      <c r="E218" s="98">
        <f>E219</f>
        <v>5043260.25</v>
      </c>
      <c r="F218" s="98">
        <f>F219</f>
        <v>5043260.25</v>
      </c>
      <c r="G218" s="392">
        <f>G219</f>
        <v>5043260.25</v>
      </c>
      <c r="H218" s="392">
        <f>H219</f>
        <v>5043260.25</v>
      </c>
    </row>
    <row r="219" spans="1:8" ht="31.5">
      <c r="A219" s="128" t="s">
        <v>930</v>
      </c>
      <c r="B219" s="20" t="s">
        <v>451</v>
      </c>
      <c r="C219" s="61"/>
      <c r="D219" s="98"/>
      <c r="E219" s="98">
        <f>SUM(E220:E223)</f>
        <v>5043260.25</v>
      </c>
      <c r="F219" s="98">
        <f>SUM(F220:F223)</f>
        <v>5043260.25</v>
      </c>
      <c r="G219" s="392">
        <f>SUM(G220:G223)</f>
        <v>5043260.25</v>
      </c>
      <c r="H219" s="392">
        <f>SUM(H220:H223)</f>
        <v>5043260.25</v>
      </c>
    </row>
    <row r="220" spans="1:8" ht="66.75" customHeight="1">
      <c r="A220" s="69" t="s">
        <v>452</v>
      </c>
      <c r="B220" s="21" t="s">
        <v>453</v>
      </c>
      <c r="C220" s="62">
        <v>600</v>
      </c>
      <c r="D220" s="92"/>
      <c r="E220" s="92">
        <v>4905060.25</v>
      </c>
      <c r="F220" s="92">
        <v>4905060.25</v>
      </c>
      <c r="G220" s="395">
        <v>4905060.25</v>
      </c>
      <c r="H220" s="395">
        <v>4905060.25</v>
      </c>
    </row>
    <row r="221" spans="1:8" ht="83.25" customHeight="1">
      <c r="A221" s="69" t="s">
        <v>864</v>
      </c>
      <c r="B221" s="21" t="s">
        <v>865</v>
      </c>
      <c r="C221" s="62">
        <v>600</v>
      </c>
      <c r="D221" s="92"/>
      <c r="E221" s="92"/>
      <c r="F221" s="92"/>
      <c r="G221" s="395"/>
      <c r="H221" s="395"/>
    </row>
    <row r="222" spans="1:8" ht="48.75" customHeight="1">
      <c r="A222" s="161" t="s">
        <v>1437</v>
      </c>
      <c r="B222" s="21" t="s">
        <v>1340</v>
      </c>
      <c r="C222" s="62">
        <v>600</v>
      </c>
      <c r="D222" s="92"/>
      <c r="E222" s="92">
        <v>138200</v>
      </c>
      <c r="F222" s="135">
        <v>138200</v>
      </c>
      <c r="G222" s="395">
        <v>138200</v>
      </c>
      <c r="H222" s="393">
        <v>138200</v>
      </c>
    </row>
    <row r="223" spans="1:8" ht="94.5">
      <c r="A223" s="69" t="s">
        <v>722</v>
      </c>
      <c r="B223" s="21" t="s">
        <v>454</v>
      </c>
      <c r="C223" s="62">
        <v>600</v>
      </c>
      <c r="D223" s="92">
        <v>451896</v>
      </c>
      <c r="E223" s="92"/>
      <c r="F223" s="92"/>
      <c r="G223" s="395"/>
      <c r="H223" s="395"/>
    </row>
    <row r="224" spans="1:8" ht="63">
      <c r="A224" s="213" t="s">
        <v>884</v>
      </c>
      <c r="B224" s="23" t="s">
        <v>455</v>
      </c>
      <c r="C224" s="217"/>
      <c r="D224" s="157" t="e">
        <f>D225+D243+#REF!</f>
        <v>#REF!</v>
      </c>
      <c r="E224" s="157">
        <f>E225+E243+E250</f>
        <v>3095209.26</v>
      </c>
      <c r="F224" s="157">
        <f>F225+F243+F250</f>
        <v>3088001.8</v>
      </c>
      <c r="G224" s="391">
        <f>G225+G243+G250</f>
        <v>3622709.26</v>
      </c>
      <c r="H224" s="391">
        <f>H225+H243+H250</f>
        <v>3615501.8</v>
      </c>
    </row>
    <row r="225" spans="1:8" ht="49.5" customHeight="1">
      <c r="A225" s="128" t="s">
        <v>463</v>
      </c>
      <c r="B225" s="20" t="s">
        <v>456</v>
      </c>
      <c r="C225" s="61"/>
      <c r="D225" s="98">
        <f>D227</f>
        <v>0</v>
      </c>
      <c r="E225" s="98">
        <f>E226+E233+E240</f>
        <v>1184924.5</v>
      </c>
      <c r="F225" s="98">
        <f>F226+F233+F240</f>
        <v>1184924.5</v>
      </c>
      <c r="G225" s="392">
        <f>G226+G233+G240</f>
        <v>1712424.5</v>
      </c>
      <c r="H225" s="392">
        <f>H226+H233+H240</f>
        <v>1712424.5</v>
      </c>
    </row>
    <row r="226" spans="1:8" ht="18.75" customHeight="1">
      <c r="A226" s="226" t="s">
        <v>464</v>
      </c>
      <c r="B226" s="20" t="s">
        <v>457</v>
      </c>
      <c r="C226" s="61"/>
      <c r="D226" s="98"/>
      <c r="E226" s="98">
        <f>SUM(E227:E232)</f>
        <v>406000</v>
      </c>
      <c r="F226" s="98">
        <f>SUM(F227:F232)</f>
        <v>406000</v>
      </c>
      <c r="G226" s="392">
        <f>SUM(G227:G232)</f>
        <v>933500</v>
      </c>
      <c r="H226" s="392">
        <f>SUM(H227:H232)</f>
        <v>933500</v>
      </c>
    </row>
    <row r="227" spans="1:8" ht="63" customHeight="1">
      <c r="A227" s="69" t="s">
        <v>696</v>
      </c>
      <c r="B227" s="21" t="s">
        <v>1403</v>
      </c>
      <c r="C227" s="62">
        <v>600</v>
      </c>
      <c r="D227" s="92"/>
      <c r="E227" s="92">
        <v>350000</v>
      </c>
      <c r="F227" s="92">
        <v>350000</v>
      </c>
      <c r="G227" s="395">
        <v>350000</v>
      </c>
      <c r="H227" s="395">
        <v>350000</v>
      </c>
    </row>
    <row r="228" spans="1:8" ht="81" customHeight="1">
      <c r="A228" s="69" t="s">
        <v>743</v>
      </c>
      <c r="B228" s="21" t="s">
        <v>1404</v>
      </c>
      <c r="C228" s="62">
        <v>100</v>
      </c>
      <c r="D228" s="92"/>
      <c r="E228" s="92">
        <v>56000</v>
      </c>
      <c r="F228" s="92">
        <v>56000</v>
      </c>
      <c r="G228" s="395">
        <v>56000</v>
      </c>
      <c r="H228" s="395">
        <v>56000</v>
      </c>
    </row>
    <row r="229" spans="1:8" ht="48" customHeight="1" hidden="1">
      <c r="A229" s="69" t="s">
        <v>607</v>
      </c>
      <c r="B229" s="21" t="s">
        <v>1405</v>
      </c>
      <c r="C229" s="62">
        <v>200</v>
      </c>
      <c r="D229" s="92"/>
      <c r="E229" s="251">
        <v>0</v>
      </c>
      <c r="F229" s="251">
        <v>0</v>
      </c>
      <c r="G229" s="395">
        <v>65500</v>
      </c>
      <c r="H229" s="395">
        <v>65500</v>
      </c>
    </row>
    <row r="230" spans="1:8" ht="48.75" customHeight="1" hidden="1">
      <c r="A230" s="69" t="s">
        <v>607</v>
      </c>
      <c r="B230" s="21" t="s">
        <v>1405</v>
      </c>
      <c r="C230" s="62">
        <v>200</v>
      </c>
      <c r="D230" s="92"/>
      <c r="E230" s="92">
        <v>0</v>
      </c>
      <c r="F230" s="92">
        <v>0</v>
      </c>
      <c r="G230" s="395">
        <v>23100</v>
      </c>
      <c r="H230" s="395">
        <v>23100</v>
      </c>
    </row>
    <row r="231" spans="1:8" ht="64.5" customHeight="1" hidden="1">
      <c r="A231" s="223" t="s">
        <v>1486</v>
      </c>
      <c r="B231" s="21" t="s">
        <v>1405</v>
      </c>
      <c r="C231" s="62">
        <v>600</v>
      </c>
      <c r="D231" s="92"/>
      <c r="E231" s="92">
        <v>0</v>
      </c>
      <c r="F231" s="92">
        <v>0</v>
      </c>
      <c r="G231" s="395">
        <v>392700</v>
      </c>
      <c r="H231" s="395">
        <v>392700</v>
      </c>
    </row>
    <row r="232" spans="1:8" ht="78.75" hidden="1">
      <c r="A232" s="63" t="s">
        <v>887</v>
      </c>
      <c r="B232" s="21" t="s">
        <v>1406</v>
      </c>
      <c r="C232" s="62">
        <v>600</v>
      </c>
      <c r="D232" s="92"/>
      <c r="E232" s="92">
        <v>0</v>
      </c>
      <c r="F232" s="92">
        <v>0</v>
      </c>
      <c r="G232" s="395">
        <v>46200</v>
      </c>
      <c r="H232" s="395">
        <v>46200</v>
      </c>
    </row>
    <row r="233" spans="1:8" ht="31.5">
      <c r="A233" s="219" t="s">
        <v>374</v>
      </c>
      <c r="B233" s="120" t="s">
        <v>1407</v>
      </c>
      <c r="C233" s="122"/>
      <c r="D233" s="122"/>
      <c r="E233" s="122">
        <f>SUM(E234:E239)</f>
        <v>763924.5</v>
      </c>
      <c r="F233" s="122">
        <f>SUM(F234:F239)</f>
        <v>763924.5</v>
      </c>
      <c r="G233" s="394">
        <f>SUM(G234:G239)</f>
        <v>763924.5</v>
      </c>
      <c r="H233" s="394">
        <f>SUM(H234:H239)</f>
        <v>763924.5</v>
      </c>
    </row>
    <row r="234" spans="1:8" ht="48" customHeight="1">
      <c r="A234" s="63" t="s">
        <v>597</v>
      </c>
      <c r="B234" s="21" t="s">
        <v>1408</v>
      </c>
      <c r="C234" s="62">
        <v>200</v>
      </c>
      <c r="D234" s="92">
        <v>320000</v>
      </c>
      <c r="E234" s="135">
        <v>350000</v>
      </c>
      <c r="F234" s="135">
        <v>350000</v>
      </c>
      <c r="G234" s="393">
        <v>350000</v>
      </c>
      <c r="H234" s="393">
        <v>350000</v>
      </c>
    </row>
    <row r="235" spans="1:8" ht="47.25">
      <c r="A235" s="63" t="s">
        <v>1061</v>
      </c>
      <c r="B235" s="21" t="s">
        <v>1409</v>
      </c>
      <c r="C235" s="62">
        <v>200</v>
      </c>
      <c r="D235" s="92"/>
      <c r="E235" s="135">
        <v>0</v>
      </c>
      <c r="F235" s="135">
        <v>0</v>
      </c>
      <c r="G235" s="393">
        <v>0</v>
      </c>
      <c r="H235" s="393">
        <v>0</v>
      </c>
    </row>
    <row r="236" spans="1:8" ht="52.5" customHeight="1">
      <c r="A236" s="63" t="s">
        <v>1023</v>
      </c>
      <c r="B236" s="21" t="s">
        <v>1410</v>
      </c>
      <c r="C236" s="62">
        <v>200</v>
      </c>
      <c r="D236" s="92"/>
      <c r="E236" s="135">
        <v>0</v>
      </c>
      <c r="F236" s="135">
        <v>0</v>
      </c>
      <c r="G236" s="393">
        <v>0</v>
      </c>
      <c r="H236" s="393">
        <v>0</v>
      </c>
    </row>
    <row r="237" spans="1:8" ht="47.25">
      <c r="A237" s="63" t="s">
        <v>598</v>
      </c>
      <c r="B237" s="21" t="s">
        <v>1411</v>
      </c>
      <c r="C237" s="62">
        <v>200</v>
      </c>
      <c r="D237" s="92">
        <v>10975</v>
      </c>
      <c r="E237" s="135">
        <v>10666.5</v>
      </c>
      <c r="F237" s="135">
        <v>10666.5</v>
      </c>
      <c r="G237" s="393">
        <v>10666.5</v>
      </c>
      <c r="H237" s="393">
        <v>10666.5</v>
      </c>
    </row>
    <row r="238" spans="1:8" ht="79.5" customHeight="1">
      <c r="A238" s="63" t="s">
        <v>375</v>
      </c>
      <c r="B238" s="21" t="s">
        <v>1412</v>
      </c>
      <c r="C238" s="62">
        <v>100</v>
      </c>
      <c r="D238" s="92">
        <v>383500</v>
      </c>
      <c r="E238" s="135">
        <v>399528</v>
      </c>
      <c r="F238" s="135">
        <v>399528</v>
      </c>
      <c r="G238" s="393">
        <v>399528</v>
      </c>
      <c r="H238" s="393">
        <v>399528</v>
      </c>
    </row>
    <row r="239" spans="1:8" ht="52.5" customHeight="1">
      <c r="A239" s="63" t="s">
        <v>599</v>
      </c>
      <c r="B239" s="21" t="s">
        <v>1412</v>
      </c>
      <c r="C239" s="62">
        <v>200</v>
      </c>
      <c r="D239" s="92">
        <v>63370</v>
      </c>
      <c r="E239" s="135">
        <v>3730</v>
      </c>
      <c r="F239" s="135">
        <v>3730</v>
      </c>
      <c r="G239" s="393">
        <v>3730</v>
      </c>
      <c r="H239" s="393">
        <v>3730</v>
      </c>
    </row>
    <row r="240" spans="1:8" ht="31.5">
      <c r="A240" s="128" t="s">
        <v>1036</v>
      </c>
      <c r="B240" s="120" t="s">
        <v>1413</v>
      </c>
      <c r="C240" s="121"/>
      <c r="D240" s="122"/>
      <c r="E240" s="122">
        <f>E241+E242</f>
        <v>15000</v>
      </c>
      <c r="F240" s="122">
        <f>F241+F242</f>
        <v>15000</v>
      </c>
      <c r="G240" s="394">
        <f>G241+G242</f>
        <v>15000</v>
      </c>
      <c r="H240" s="394">
        <f>H241+H242</f>
        <v>15000</v>
      </c>
    </row>
    <row r="241" spans="1:8" ht="48" customHeight="1">
      <c r="A241" s="63" t="s">
        <v>1229</v>
      </c>
      <c r="B241" s="21" t="s">
        <v>1414</v>
      </c>
      <c r="C241" s="62">
        <v>200</v>
      </c>
      <c r="D241" s="92"/>
      <c r="E241" s="135">
        <v>9000</v>
      </c>
      <c r="F241" s="92">
        <v>9000</v>
      </c>
      <c r="G241" s="393">
        <v>9000</v>
      </c>
      <c r="H241" s="395">
        <v>9000</v>
      </c>
    </row>
    <row r="242" spans="1:8" ht="63">
      <c r="A242" s="63" t="s">
        <v>1230</v>
      </c>
      <c r="B242" s="21" t="s">
        <v>1415</v>
      </c>
      <c r="C242" s="62">
        <v>200</v>
      </c>
      <c r="D242" s="92"/>
      <c r="E242" s="135">
        <v>6000</v>
      </c>
      <c r="F242" s="92">
        <v>6000</v>
      </c>
      <c r="G242" s="393">
        <v>6000</v>
      </c>
      <c r="H242" s="395">
        <v>6000</v>
      </c>
    </row>
    <row r="243" spans="1:8" ht="31.5">
      <c r="A243" s="128" t="s">
        <v>465</v>
      </c>
      <c r="B243" s="20" t="s">
        <v>1416</v>
      </c>
      <c r="C243" s="61"/>
      <c r="D243" s="98">
        <f>D245</f>
        <v>0</v>
      </c>
      <c r="E243" s="98">
        <f>E244+E246</f>
        <v>61400</v>
      </c>
      <c r="F243" s="98">
        <f>F244+F246</f>
        <v>61400</v>
      </c>
      <c r="G243" s="392">
        <f>G244+G246</f>
        <v>61400</v>
      </c>
      <c r="H243" s="392">
        <f>H244+H246</f>
        <v>61400</v>
      </c>
    </row>
    <row r="244" spans="1:8" ht="31.5">
      <c r="A244" s="128" t="s">
        <v>1037</v>
      </c>
      <c r="B244" s="20" t="s">
        <v>1417</v>
      </c>
      <c r="C244" s="61"/>
      <c r="D244" s="98"/>
      <c r="E244" s="98">
        <f>E245</f>
        <v>4000</v>
      </c>
      <c r="F244" s="98">
        <f>F245</f>
        <v>4000</v>
      </c>
      <c r="G244" s="392">
        <f>G245</f>
        <v>4000</v>
      </c>
      <c r="H244" s="392">
        <f>H245</f>
        <v>4000</v>
      </c>
    </row>
    <row r="245" spans="1:8" ht="63">
      <c r="A245" s="69" t="s">
        <v>1038</v>
      </c>
      <c r="B245" s="21" t="s">
        <v>1418</v>
      </c>
      <c r="C245" s="62">
        <v>200</v>
      </c>
      <c r="D245" s="92"/>
      <c r="E245" s="135">
        <v>4000</v>
      </c>
      <c r="F245" s="92">
        <v>4000</v>
      </c>
      <c r="G245" s="393">
        <v>4000</v>
      </c>
      <c r="H245" s="395">
        <v>4000</v>
      </c>
    </row>
    <row r="246" spans="1:8" ht="31.5">
      <c r="A246" s="128" t="s">
        <v>935</v>
      </c>
      <c r="B246" s="20" t="s">
        <v>1419</v>
      </c>
      <c r="C246" s="61"/>
      <c r="D246" s="92"/>
      <c r="E246" s="122">
        <f>SUM(E247:E249)</f>
        <v>57400</v>
      </c>
      <c r="F246" s="122">
        <f>SUM(F247:F249)</f>
        <v>57400</v>
      </c>
      <c r="G246" s="394">
        <f>SUM(G247:G249)</f>
        <v>57400</v>
      </c>
      <c r="H246" s="394">
        <f>SUM(H247:H249)</f>
        <v>57400</v>
      </c>
    </row>
    <row r="247" spans="1:8" ht="84" customHeight="1">
      <c r="A247" s="69" t="s">
        <v>978</v>
      </c>
      <c r="B247" s="21" t="s">
        <v>1420</v>
      </c>
      <c r="C247" s="62">
        <v>100</v>
      </c>
      <c r="D247" s="92"/>
      <c r="E247" s="135">
        <v>15000</v>
      </c>
      <c r="F247" s="92">
        <v>15000</v>
      </c>
      <c r="G247" s="393">
        <v>15000</v>
      </c>
      <c r="H247" s="395">
        <v>15000</v>
      </c>
    </row>
    <row r="248" spans="1:8" ht="47.25" customHeight="1">
      <c r="A248" s="69" t="s">
        <v>979</v>
      </c>
      <c r="B248" s="21" t="s">
        <v>1421</v>
      </c>
      <c r="C248" s="62">
        <v>200</v>
      </c>
      <c r="D248" s="92"/>
      <c r="E248" s="135">
        <v>5000</v>
      </c>
      <c r="F248" s="92">
        <v>5000</v>
      </c>
      <c r="G248" s="393">
        <v>5000</v>
      </c>
      <c r="H248" s="395">
        <v>5000</v>
      </c>
    </row>
    <row r="249" spans="1:8" ht="63">
      <c r="A249" s="69" t="s">
        <v>946</v>
      </c>
      <c r="B249" s="21" t="s">
        <v>1422</v>
      </c>
      <c r="C249" s="62">
        <v>200</v>
      </c>
      <c r="D249" s="92"/>
      <c r="E249" s="135">
        <v>37400</v>
      </c>
      <c r="F249" s="92">
        <v>37400</v>
      </c>
      <c r="G249" s="393">
        <v>37400</v>
      </c>
      <c r="H249" s="395">
        <v>37400</v>
      </c>
    </row>
    <row r="250" spans="1:8" ht="31.5">
      <c r="A250" s="128" t="s">
        <v>1013</v>
      </c>
      <c r="B250" s="20" t="s">
        <v>1423</v>
      </c>
      <c r="C250" s="61"/>
      <c r="D250" s="98">
        <f>D252</f>
        <v>0</v>
      </c>
      <c r="E250" s="98">
        <f>E251</f>
        <v>1848884.76</v>
      </c>
      <c r="F250" s="98">
        <f>F251</f>
        <v>1841677.3</v>
      </c>
      <c r="G250" s="392">
        <f>G251</f>
        <v>1848884.76</v>
      </c>
      <c r="H250" s="392">
        <f>H251</f>
        <v>1841677.3</v>
      </c>
    </row>
    <row r="251" spans="1:8" ht="31.5">
      <c r="A251" s="128" t="s">
        <v>1014</v>
      </c>
      <c r="B251" s="20" t="s">
        <v>1424</v>
      </c>
      <c r="C251" s="61"/>
      <c r="D251" s="98"/>
      <c r="E251" s="98">
        <f>E252+E253+E254</f>
        <v>1848884.76</v>
      </c>
      <c r="F251" s="98">
        <f>F252+F253+F254</f>
        <v>1841677.3</v>
      </c>
      <c r="G251" s="392">
        <f>G252+G253+G254</f>
        <v>1848884.76</v>
      </c>
      <c r="H251" s="392">
        <f>H252+H253+H254</f>
        <v>1841677.3</v>
      </c>
    </row>
    <row r="252" spans="1:8" ht="78" customHeight="1">
      <c r="A252" s="69" t="s">
        <v>1016</v>
      </c>
      <c r="B252" s="21" t="s">
        <v>1425</v>
      </c>
      <c r="C252" s="62">
        <v>100</v>
      </c>
      <c r="D252" s="92"/>
      <c r="E252" s="135">
        <v>1768804.76</v>
      </c>
      <c r="F252" s="92">
        <v>1768804.76</v>
      </c>
      <c r="G252" s="393">
        <v>1768804.76</v>
      </c>
      <c r="H252" s="395">
        <v>1768804.76</v>
      </c>
    </row>
    <row r="253" spans="1:8" ht="47.25">
      <c r="A253" s="69" t="s">
        <v>1015</v>
      </c>
      <c r="B253" s="21" t="s">
        <v>1425</v>
      </c>
      <c r="C253" s="62">
        <v>200</v>
      </c>
      <c r="D253" s="92"/>
      <c r="E253" s="135">
        <v>80080</v>
      </c>
      <c r="F253" s="92">
        <v>72872.54</v>
      </c>
      <c r="G253" s="393">
        <v>80080</v>
      </c>
      <c r="H253" s="395">
        <v>72872.54</v>
      </c>
    </row>
    <row r="254" spans="1:8" ht="35.25" customHeight="1">
      <c r="A254" s="69" t="s">
        <v>1017</v>
      </c>
      <c r="B254" s="21" t="s">
        <v>1425</v>
      </c>
      <c r="C254" s="62">
        <v>800</v>
      </c>
      <c r="D254" s="92"/>
      <c r="E254" s="92"/>
      <c r="F254" s="92"/>
      <c r="G254" s="395"/>
      <c r="H254" s="395"/>
    </row>
    <row r="255" spans="1:8" ht="31.5">
      <c r="A255" s="213" t="s">
        <v>662</v>
      </c>
      <c r="B255" s="23" t="s">
        <v>458</v>
      </c>
      <c r="C255" s="217"/>
      <c r="D255" s="157">
        <f>D256</f>
        <v>0</v>
      </c>
      <c r="E255" s="157">
        <f>E256+E261</f>
        <v>4237000</v>
      </c>
      <c r="F255" s="157">
        <f>F256+F261</f>
        <v>4237000</v>
      </c>
      <c r="G255" s="391">
        <f>G256+G261</f>
        <v>4237000</v>
      </c>
      <c r="H255" s="391">
        <f>H256+H261</f>
        <v>4237000</v>
      </c>
    </row>
    <row r="256" spans="1:8" ht="31.5">
      <c r="A256" s="128" t="s">
        <v>931</v>
      </c>
      <c r="B256" s="20" t="s">
        <v>459</v>
      </c>
      <c r="C256" s="61"/>
      <c r="D256" s="98">
        <f>SUM(D258:D260)</f>
        <v>0</v>
      </c>
      <c r="E256" s="98">
        <f>E257</f>
        <v>4237000</v>
      </c>
      <c r="F256" s="98">
        <f>F257</f>
        <v>4237000</v>
      </c>
      <c r="G256" s="392">
        <f>G257</f>
        <v>4237000</v>
      </c>
      <c r="H256" s="392">
        <f>H257</f>
        <v>4237000</v>
      </c>
    </row>
    <row r="257" spans="1:8" ht="31.5">
      <c r="A257" s="128" t="s">
        <v>996</v>
      </c>
      <c r="B257" s="20" t="s">
        <v>460</v>
      </c>
      <c r="C257" s="61"/>
      <c r="D257" s="98"/>
      <c r="E257" s="98">
        <f>SUM(E258:E260)</f>
        <v>4237000</v>
      </c>
      <c r="F257" s="98">
        <f>SUM(F258:F260)</f>
        <v>4237000</v>
      </c>
      <c r="G257" s="392">
        <f>SUM(G258:G260)</f>
        <v>4237000</v>
      </c>
      <c r="H257" s="392">
        <f>SUM(H258:H260)</f>
        <v>4237000</v>
      </c>
    </row>
    <row r="258" spans="1:8" ht="79.5" customHeight="1">
      <c r="A258" s="69" t="s">
        <v>547</v>
      </c>
      <c r="B258" s="21" t="s">
        <v>462</v>
      </c>
      <c r="C258" s="62">
        <v>100</v>
      </c>
      <c r="D258" s="92">
        <v>56705</v>
      </c>
      <c r="E258" s="92">
        <v>3850265.8</v>
      </c>
      <c r="F258" s="92">
        <v>3850265.8</v>
      </c>
      <c r="G258" s="395">
        <v>3850265.8</v>
      </c>
      <c r="H258" s="395">
        <v>3850265.8</v>
      </c>
    </row>
    <row r="259" spans="1:8" ht="49.5" customHeight="1">
      <c r="A259" s="69" t="s">
        <v>606</v>
      </c>
      <c r="B259" s="21" t="s">
        <v>462</v>
      </c>
      <c r="C259" s="62">
        <v>200</v>
      </c>
      <c r="D259" s="92">
        <v>-50705</v>
      </c>
      <c r="E259" s="92">
        <v>386734.2</v>
      </c>
      <c r="F259" s="92">
        <v>386734.2</v>
      </c>
      <c r="G259" s="395">
        <v>386734.2</v>
      </c>
      <c r="H259" s="395">
        <v>386734.2</v>
      </c>
    </row>
    <row r="260" spans="1:8" ht="27" customHeight="1">
      <c r="A260" s="69" t="s">
        <v>461</v>
      </c>
      <c r="B260" s="21" t="s">
        <v>462</v>
      </c>
      <c r="C260" s="62">
        <v>800</v>
      </c>
      <c r="D260" s="92">
        <v>-6000</v>
      </c>
      <c r="E260" s="92">
        <v>0</v>
      </c>
      <c r="F260" s="92">
        <v>0</v>
      </c>
      <c r="G260" s="395">
        <v>0</v>
      </c>
      <c r="H260" s="395">
        <v>0</v>
      </c>
    </row>
    <row r="261" spans="1:8" ht="31.5">
      <c r="A261" s="128" t="s">
        <v>1125</v>
      </c>
      <c r="B261" s="20" t="s">
        <v>1127</v>
      </c>
      <c r="C261" s="121"/>
      <c r="D261" s="92"/>
      <c r="E261" s="122">
        <f aca="true" t="shared" si="7" ref="E261:H262">E262</f>
        <v>0</v>
      </c>
      <c r="F261" s="122">
        <f t="shared" si="7"/>
        <v>0</v>
      </c>
      <c r="G261" s="394">
        <f t="shared" si="7"/>
        <v>0</v>
      </c>
      <c r="H261" s="394">
        <f t="shared" si="7"/>
        <v>0</v>
      </c>
    </row>
    <row r="262" spans="1:8" ht="31.5">
      <c r="A262" s="128" t="s">
        <v>1126</v>
      </c>
      <c r="B262" s="20" t="s">
        <v>1128</v>
      </c>
      <c r="C262" s="121"/>
      <c r="D262" s="92"/>
      <c r="E262" s="122">
        <f t="shared" si="7"/>
        <v>0</v>
      </c>
      <c r="F262" s="122">
        <f t="shared" si="7"/>
        <v>0</v>
      </c>
      <c r="G262" s="394">
        <f t="shared" si="7"/>
        <v>0</v>
      </c>
      <c r="H262" s="394">
        <f t="shared" si="7"/>
        <v>0</v>
      </c>
    </row>
    <row r="263" spans="1:8" ht="47.25">
      <c r="A263" s="69" t="s">
        <v>1129</v>
      </c>
      <c r="B263" s="21" t="s">
        <v>1130</v>
      </c>
      <c r="C263" s="62">
        <v>200</v>
      </c>
      <c r="D263" s="92"/>
      <c r="E263" s="135">
        <v>0</v>
      </c>
      <c r="F263" s="135">
        <v>0</v>
      </c>
      <c r="G263" s="393">
        <v>0</v>
      </c>
      <c r="H263" s="393">
        <v>0</v>
      </c>
    </row>
    <row r="264" spans="1:8" ht="36" customHeight="1">
      <c r="A264" s="213" t="s">
        <v>466</v>
      </c>
      <c r="B264" s="23" t="s">
        <v>467</v>
      </c>
      <c r="C264" s="217"/>
      <c r="D264" s="157">
        <f>D265</f>
        <v>30000</v>
      </c>
      <c r="E264" s="157">
        <f>E265</f>
        <v>11220114.56</v>
      </c>
      <c r="F264" s="157">
        <f>F265</f>
        <v>8937721.82</v>
      </c>
      <c r="G264" s="391">
        <f>G265</f>
        <v>11240763.32</v>
      </c>
      <c r="H264" s="391">
        <f>H265</f>
        <v>8958370.58</v>
      </c>
    </row>
    <row r="265" spans="1:8" ht="15.75">
      <c r="A265" s="128" t="s">
        <v>2</v>
      </c>
      <c r="B265" s="20" t="s">
        <v>468</v>
      </c>
      <c r="C265" s="61"/>
      <c r="D265" s="98">
        <f>SUM(D22:D23)</f>
        <v>30000</v>
      </c>
      <c r="E265" s="98">
        <f>SUM(E266:E281)</f>
        <v>11220114.56</v>
      </c>
      <c r="F265" s="98">
        <f>SUM(F266:F281)</f>
        <v>8937721.82</v>
      </c>
      <c r="G265" s="392">
        <f>SUM(G266:G281)</f>
        <v>11240763.32</v>
      </c>
      <c r="H265" s="392">
        <f>SUM(H266:H281)</f>
        <v>8958370.58</v>
      </c>
    </row>
    <row r="266" spans="1:8" ht="31.5">
      <c r="A266" s="220" t="s">
        <v>622</v>
      </c>
      <c r="B266" s="21" t="s">
        <v>471</v>
      </c>
      <c r="C266" s="62">
        <v>800</v>
      </c>
      <c r="D266" s="92"/>
      <c r="E266" s="135">
        <v>44022</v>
      </c>
      <c r="F266" s="92">
        <v>44022</v>
      </c>
      <c r="G266" s="393">
        <v>44022</v>
      </c>
      <c r="H266" s="395">
        <v>44022</v>
      </c>
    </row>
    <row r="267" spans="1:8" ht="47.25">
      <c r="A267" s="63" t="s">
        <v>609</v>
      </c>
      <c r="B267" s="21" t="s">
        <v>470</v>
      </c>
      <c r="C267" s="62">
        <v>200</v>
      </c>
      <c r="D267" s="92"/>
      <c r="E267" s="135">
        <v>117180</v>
      </c>
      <c r="F267" s="92">
        <v>117180</v>
      </c>
      <c r="G267" s="393">
        <v>117180</v>
      </c>
      <c r="H267" s="395">
        <v>117180</v>
      </c>
    </row>
    <row r="268" spans="1:8" ht="47.25">
      <c r="A268" s="63" t="s">
        <v>472</v>
      </c>
      <c r="B268" s="21" t="s">
        <v>473</v>
      </c>
      <c r="C268" s="62">
        <v>400</v>
      </c>
      <c r="D268" s="92"/>
      <c r="E268" s="135"/>
      <c r="F268" s="92"/>
      <c r="G268" s="393"/>
      <c r="H268" s="395"/>
    </row>
    <row r="269" spans="1:8" ht="63.75" customHeight="1">
      <c r="A269" s="63" t="s">
        <v>634</v>
      </c>
      <c r="B269" s="21" t="s">
        <v>628</v>
      </c>
      <c r="C269" s="62">
        <v>200</v>
      </c>
      <c r="D269" s="92"/>
      <c r="E269" s="135"/>
      <c r="F269" s="92"/>
      <c r="G269" s="393"/>
      <c r="H269" s="395"/>
    </row>
    <row r="270" spans="1:8" ht="47.25">
      <c r="A270" s="63" t="s">
        <v>914</v>
      </c>
      <c r="B270" s="21" t="s">
        <v>945</v>
      </c>
      <c r="C270" s="62">
        <v>200</v>
      </c>
      <c r="D270" s="92"/>
      <c r="E270" s="135">
        <v>816533.33</v>
      </c>
      <c r="F270" s="92">
        <v>816533.33</v>
      </c>
      <c r="G270" s="393">
        <v>816533.33</v>
      </c>
      <c r="H270" s="395">
        <v>816533.33</v>
      </c>
    </row>
    <row r="271" spans="1:8" ht="67.5" customHeight="1">
      <c r="A271" s="63" t="s">
        <v>636</v>
      </c>
      <c r="B271" s="21" t="s">
        <v>635</v>
      </c>
      <c r="C271" s="62">
        <v>200</v>
      </c>
      <c r="D271" s="92"/>
      <c r="E271" s="135">
        <v>119659.25</v>
      </c>
      <c r="F271" s="92">
        <v>119659.25</v>
      </c>
      <c r="G271" s="393">
        <v>119659.25</v>
      </c>
      <c r="H271" s="395">
        <v>119659.25</v>
      </c>
    </row>
    <row r="272" spans="1:8" ht="48" customHeight="1">
      <c r="A272" s="63" t="s">
        <v>750</v>
      </c>
      <c r="B272" s="21" t="s">
        <v>749</v>
      </c>
      <c r="C272" s="62">
        <v>200</v>
      </c>
      <c r="D272" s="92"/>
      <c r="E272" s="135"/>
      <c r="F272" s="92"/>
      <c r="G272" s="393"/>
      <c r="H272" s="395"/>
    </row>
    <row r="273" spans="1:8" ht="47.25">
      <c r="A273" s="63" t="s">
        <v>762</v>
      </c>
      <c r="B273" s="21" t="s">
        <v>761</v>
      </c>
      <c r="C273" s="62">
        <v>200</v>
      </c>
      <c r="D273" s="92"/>
      <c r="E273" s="135">
        <f>2032392.74-69684.75</f>
        <v>1962707.99</v>
      </c>
      <c r="F273" s="92">
        <v>0</v>
      </c>
      <c r="G273" s="393">
        <f>2032392.74-69684.75</f>
        <v>1962707.99</v>
      </c>
      <c r="H273" s="395">
        <v>0</v>
      </c>
    </row>
    <row r="274" spans="1:8" ht="111.75" customHeight="1">
      <c r="A274" s="64" t="s">
        <v>1319</v>
      </c>
      <c r="B274" s="21" t="s">
        <v>1339</v>
      </c>
      <c r="C274" s="62">
        <v>800</v>
      </c>
      <c r="D274" s="92"/>
      <c r="E274" s="135">
        <v>69684.75</v>
      </c>
      <c r="F274" s="92">
        <v>0</v>
      </c>
      <c r="G274" s="393">
        <v>69684.75</v>
      </c>
      <c r="H274" s="395">
        <v>0</v>
      </c>
    </row>
    <row r="275" spans="1:8" ht="31.5" customHeight="1">
      <c r="A275" s="221" t="s">
        <v>1337</v>
      </c>
      <c r="B275" s="21" t="s">
        <v>1379</v>
      </c>
      <c r="C275" s="62">
        <v>800</v>
      </c>
      <c r="D275" s="92"/>
      <c r="E275" s="92">
        <v>300000</v>
      </c>
      <c r="F275" s="92">
        <v>50000</v>
      </c>
      <c r="G275" s="395">
        <v>300000</v>
      </c>
      <c r="H275" s="395">
        <v>50000</v>
      </c>
    </row>
    <row r="276" spans="1:8" ht="126.75" customHeight="1">
      <c r="A276" s="63" t="s">
        <v>621</v>
      </c>
      <c r="B276" s="21" t="s">
        <v>619</v>
      </c>
      <c r="C276" s="62">
        <v>800</v>
      </c>
      <c r="D276" s="92"/>
      <c r="E276" s="92"/>
      <c r="F276" s="92"/>
      <c r="G276" s="395"/>
      <c r="H276" s="395"/>
    </row>
    <row r="277" spans="1:8" ht="81" customHeight="1">
      <c r="A277" s="63" t="s">
        <v>1545</v>
      </c>
      <c r="B277" s="21" t="s">
        <v>474</v>
      </c>
      <c r="C277" s="62">
        <v>200</v>
      </c>
      <c r="D277" s="92">
        <v>59850</v>
      </c>
      <c r="E277" s="135">
        <v>22290.24</v>
      </c>
      <c r="F277" s="135">
        <v>22290.24</v>
      </c>
      <c r="G277" s="393">
        <v>42939</v>
      </c>
      <c r="H277" s="395">
        <v>42939</v>
      </c>
    </row>
    <row r="278" spans="1:8" ht="111.75" customHeight="1">
      <c r="A278" s="63" t="s">
        <v>610</v>
      </c>
      <c r="B278" s="21" t="s">
        <v>747</v>
      </c>
      <c r="C278" s="62">
        <v>200</v>
      </c>
      <c r="D278" s="92">
        <v>63180</v>
      </c>
      <c r="E278" s="92">
        <v>0</v>
      </c>
      <c r="F278" s="92">
        <v>0</v>
      </c>
      <c r="G278" s="395">
        <v>0</v>
      </c>
      <c r="H278" s="395">
        <v>0</v>
      </c>
    </row>
    <row r="279" spans="1:8" ht="49.5" customHeight="1">
      <c r="A279" s="63" t="s">
        <v>475</v>
      </c>
      <c r="B279" s="21" t="s">
        <v>476</v>
      </c>
      <c r="C279" s="62">
        <v>600</v>
      </c>
      <c r="D279" s="92"/>
      <c r="E279" s="92"/>
      <c r="F279" s="92"/>
      <c r="G279" s="395"/>
      <c r="H279" s="395"/>
    </row>
    <row r="280" spans="1:8" ht="78.75">
      <c r="A280" s="63" t="s">
        <v>918</v>
      </c>
      <c r="B280" s="21" t="s">
        <v>477</v>
      </c>
      <c r="C280" s="62">
        <v>300</v>
      </c>
      <c r="D280" s="92"/>
      <c r="E280" s="92">
        <v>1035000</v>
      </c>
      <c r="F280" s="92">
        <v>1035000</v>
      </c>
      <c r="G280" s="395">
        <v>1035000</v>
      </c>
      <c r="H280" s="395">
        <v>1035000</v>
      </c>
    </row>
    <row r="281" spans="1:8" ht="161.25" customHeight="1">
      <c r="A281" s="69" t="s">
        <v>478</v>
      </c>
      <c r="B281" s="21" t="s">
        <v>479</v>
      </c>
      <c r="C281" s="62">
        <v>600</v>
      </c>
      <c r="D281" s="92">
        <v>208560</v>
      </c>
      <c r="E281" s="92">
        <v>6733037</v>
      </c>
      <c r="F281" s="92">
        <v>6733037</v>
      </c>
      <c r="G281" s="395">
        <v>6733037</v>
      </c>
      <c r="H281" s="395">
        <v>6733037</v>
      </c>
    </row>
    <row r="282" spans="1:8" ht="47.25">
      <c r="A282" s="152" t="s">
        <v>480</v>
      </c>
      <c r="B282" s="23" t="s">
        <v>481</v>
      </c>
      <c r="C282" s="217"/>
      <c r="D282" s="157">
        <f aca="true" t="shared" si="8" ref="D282:H285">D283</f>
        <v>0</v>
      </c>
      <c r="E282" s="157">
        <f t="shared" si="8"/>
        <v>9739</v>
      </c>
      <c r="F282" s="157">
        <f>F283</f>
        <v>42414</v>
      </c>
      <c r="G282" s="391">
        <f t="shared" si="8"/>
        <v>5490</v>
      </c>
      <c r="H282" s="391">
        <f>H283</f>
        <v>0</v>
      </c>
    </row>
    <row r="283" spans="1:8" ht="15.75">
      <c r="A283" s="153" t="s">
        <v>2</v>
      </c>
      <c r="B283" s="20" t="s">
        <v>482</v>
      </c>
      <c r="C283" s="61"/>
      <c r="D283" s="98">
        <f t="shared" si="8"/>
        <v>0</v>
      </c>
      <c r="E283" s="98">
        <f t="shared" si="8"/>
        <v>9739</v>
      </c>
      <c r="F283" s="98">
        <f t="shared" si="8"/>
        <v>42414</v>
      </c>
      <c r="G283" s="392">
        <f t="shared" si="8"/>
        <v>5490</v>
      </c>
      <c r="H283" s="392">
        <f t="shared" si="8"/>
        <v>0</v>
      </c>
    </row>
    <row r="284" spans="1:8" ht="52.5" customHeight="1">
      <c r="A284" s="63" t="s">
        <v>1485</v>
      </c>
      <c r="B284" s="21" t="s">
        <v>483</v>
      </c>
      <c r="C284" s="62">
        <v>500</v>
      </c>
      <c r="D284" s="92"/>
      <c r="E284" s="92">
        <v>9739</v>
      </c>
      <c r="F284" s="92">
        <v>42414</v>
      </c>
      <c r="G284" s="395">
        <v>5490</v>
      </c>
      <c r="H284" s="395">
        <v>0</v>
      </c>
    </row>
    <row r="285" spans="1:8" ht="50.25" customHeight="1">
      <c r="A285" s="152" t="s">
        <v>486</v>
      </c>
      <c r="B285" s="23" t="s">
        <v>484</v>
      </c>
      <c r="C285" s="217"/>
      <c r="D285" s="157" t="e">
        <f t="shared" si="8"/>
        <v>#REF!</v>
      </c>
      <c r="E285" s="157">
        <f t="shared" si="8"/>
        <v>0</v>
      </c>
      <c r="F285" s="157">
        <f>F286</f>
        <v>0</v>
      </c>
      <c r="G285" s="391">
        <f t="shared" si="8"/>
        <v>0</v>
      </c>
      <c r="H285" s="391">
        <f>H286</f>
        <v>0</v>
      </c>
    </row>
    <row r="286" spans="1:8" ht="15.75">
      <c r="A286" s="153" t="s">
        <v>2</v>
      </c>
      <c r="B286" s="20" t="s">
        <v>485</v>
      </c>
      <c r="C286" s="61"/>
      <c r="D286" s="98" t="e">
        <f>#REF!</f>
        <v>#REF!</v>
      </c>
      <c r="E286" s="98">
        <f>E287</f>
        <v>0</v>
      </c>
      <c r="F286" s="98">
        <f>SUM(F287:F287)</f>
        <v>0</v>
      </c>
      <c r="G286" s="392">
        <f>G287</f>
        <v>0</v>
      </c>
      <c r="H286" s="392">
        <f>SUM(H287:H287)</f>
        <v>0</v>
      </c>
    </row>
    <row r="287" spans="1:8" ht="63">
      <c r="A287" s="63" t="s">
        <v>736</v>
      </c>
      <c r="B287" s="21" t="s">
        <v>886</v>
      </c>
      <c r="C287" s="62">
        <v>600</v>
      </c>
      <c r="D287" s="92"/>
      <c r="E287" s="92"/>
      <c r="F287" s="92"/>
      <c r="G287" s="395"/>
      <c r="H287" s="395"/>
    </row>
    <row r="288" spans="1:10" ht="15.75">
      <c r="A288" s="152" t="s">
        <v>172</v>
      </c>
      <c r="B288" s="228"/>
      <c r="C288" s="228"/>
      <c r="D288" s="229" t="e">
        <f>D10+D17+D54+D71+D84+D103+D107+D128+D162+D170+D224+D255+D264+#REF!+#REF!+#REF!+D282</f>
        <v>#REF!</v>
      </c>
      <c r="E288" s="229">
        <f>E10+E17+E54+E71+E84+E103+E107+E128+E162+E170+E224+E255+E264+E282+E285</f>
        <v>321948701.52</v>
      </c>
      <c r="F288" s="229">
        <f>F10+F17+F54+F71+F84+F103+F107+F128+F162+F170+F224+F255+F264+F282+F285</f>
        <v>309466795.86</v>
      </c>
      <c r="G288" s="398">
        <f>G10+G17+G54+G71+G84+G103+G107+G128+G162+G170+G224+G255+G264+G282+G285</f>
        <v>302446309.33</v>
      </c>
      <c r="H288" s="398">
        <f>H10+H17+H54+H71+H84+H103+H107+H128+H162+H170+H224+H255+H264+H282+H285</f>
        <v>293724243.6</v>
      </c>
      <c r="I288" s="502"/>
      <c r="J288" s="502"/>
    </row>
    <row r="290" spans="5:8" ht="12.75">
      <c r="E290" s="185"/>
      <c r="F290" s="185"/>
      <c r="G290" s="401"/>
      <c r="H290" s="401"/>
    </row>
    <row r="291" spans="5:10" ht="23.25" customHeight="1">
      <c r="E291" s="185"/>
      <c r="F291" s="185"/>
      <c r="I291" s="185"/>
      <c r="J291" s="185"/>
    </row>
  </sheetData>
  <sheetProtection/>
  <mergeCells count="10">
    <mergeCell ref="G7:H7"/>
    <mergeCell ref="A1:F1"/>
    <mergeCell ref="A2:F2"/>
    <mergeCell ref="A3:F3"/>
    <mergeCell ref="A4:F4"/>
    <mergeCell ref="A5:F5"/>
    <mergeCell ref="A7:A8"/>
    <mergeCell ref="B7:B8"/>
    <mergeCell ref="C7:C8"/>
    <mergeCell ref="D7:F7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9"/>
  <sheetViews>
    <sheetView view="pageBreakPreview" zoomScale="50" zoomScaleNormal="80" zoomScaleSheetLayoutView="50" zoomScalePageLayoutView="0" workbookViewId="0" topLeftCell="A267">
      <selection activeCell="AC276" sqref="AC276"/>
    </sheetView>
  </sheetViews>
  <sheetFormatPr defaultColWidth="9.140625" defaultRowHeight="12.75"/>
  <cols>
    <col min="1" max="1" width="60.00390625" style="123" customWidth="1"/>
    <col min="2" max="3" width="14.00390625" style="123" customWidth="1"/>
    <col min="4" max="4" width="5.7109375" style="123" customWidth="1"/>
    <col min="5" max="6" width="5.140625" style="123" customWidth="1"/>
    <col min="7" max="7" width="15.28125" style="123" customWidth="1"/>
    <col min="8" max="8" width="14.421875" style="123" customWidth="1"/>
    <col min="9" max="9" width="15.140625" style="123" hidden="1" customWidth="1"/>
    <col min="10" max="10" width="19.00390625" style="440" customWidth="1"/>
    <col min="11" max="11" width="20.57421875" style="322" customWidth="1"/>
    <col min="12" max="12" width="18.421875" style="200" hidden="1" customWidth="1"/>
    <col min="13" max="13" width="22.28125" style="123" hidden="1" customWidth="1"/>
    <col min="14" max="14" width="13.8515625" style="123" hidden="1" customWidth="1"/>
    <col min="15" max="15" width="0.13671875" style="123" hidden="1" customWidth="1"/>
    <col min="16" max="16384" width="9.140625" style="123" customWidth="1"/>
  </cols>
  <sheetData>
    <row r="1" spans="1:11" ht="15.75">
      <c r="A1" s="16"/>
      <c r="B1" s="551" t="s">
        <v>318</v>
      </c>
      <c r="C1" s="551"/>
      <c r="D1" s="551"/>
      <c r="E1" s="551"/>
      <c r="F1" s="551"/>
      <c r="G1" s="551"/>
      <c r="H1" s="551"/>
      <c r="I1" s="551"/>
      <c r="J1" s="551"/>
      <c r="K1" s="551"/>
    </row>
    <row r="2" spans="1:11" ht="15.75">
      <c r="A2" s="17"/>
      <c r="B2" s="551" t="s">
        <v>156</v>
      </c>
      <c r="C2" s="551"/>
      <c r="D2" s="551"/>
      <c r="E2" s="551"/>
      <c r="F2" s="551"/>
      <c r="G2" s="551"/>
      <c r="H2" s="551"/>
      <c r="I2" s="551"/>
      <c r="J2" s="551"/>
      <c r="K2" s="551"/>
    </row>
    <row r="3" spans="1:11" ht="15.75">
      <c r="A3" s="18"/>
      <c r="B3" s="551" t="s">
        <v>1441</v>
      </c>
      <c r="C3" s="551"/>
      <c r="D3" s="551"/>
      <c r="E3" s="551"/>
      <c r="F3" s="551"/>
      <c r="G3" s="551"/>
      <c r="H3" s="551"/>
      <c r="I3" s="551"/>
      <c r="J3" s="551"/>
      <c r="K3" s="551"/>
    </row>
    <row r="4" spans="1:10" ht="15.75">
      <c r="A4" s="18"/>
      <c r="B4" s="18"/>
      <c r="C4" s="18"/>
      <c r="D4" s="18"/>
      <c r="E4" s="18"/>
      <c r="F4" s="18"/>
      <c r="G4" s="18"/>
      <c r="H4" s="18"/>
      <c r="I4" s="18"/>
      <c r="J4" s="432"/>
    </row>
    <row r="5" spans="1:11" ht="12.75">
      <c r="A5" s="520" t="s">
        <v>1293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</row>
    <row r="6" spans="1:11" ht="21" customHeight="1">
      <c r="A6" s="520"/>
      <c r="B6" s="520"/>
      <c r="C6" s="520"/>
      <c r="D6" s="520"/>
      <c r="E6" s="520"/>
      <c r="F6" s="520"/>
      <c r="G6" s="520"/>
      <c r="H6" s="520"/>
      <c r="I6" s="520"/>
      <c r="J6" s="520"/>
      <c r="K6" s="520"/>
    </row>
    <row r="7" spans="1:11" ht="15.75">
      <c r="A7" s="18"/>
      <c r="B7" s="18"/>
      <c r="C7" s="18"/>
      <c r="D7" s="18"/>
      <c r="E7" s="18"/>
      <c r="F7" s="18"/>
      <c r="G7" s="18"/>
      <c r="H7" s="18"/>
      <c r="I7" s="18"/>
      <c r="J7" s="432"/>
      <c r="K7" s="38"/>
    </row>
    <row r="8" spans="1:12" ht="18" customHeight="1">
      <c r="A8" s="552" t="s">
        <v>158</v>
      </c>
      <c r="B8" s="552" t="s">
        <v>157</v>
      </c>
      <c r="C8" s="552" t="s">
        <v>280</v>
      </c>
      <c r="D8" s="552" t="s">
        <v>281</v>
      </c>
      <c r="E8" s="552"/>
      <c r="F8" s="552"/>
      <c r="G8" s="552"/>
      <c r="H8" s="552" t="s">
        <v>282</v>
      </c>
      <c r="I8" s="548" t="s">
        <v>640</v>
      </c>
      <c r="J8" s="548"/>
      <c r="K8" s="548"/>
      <c r="L8" s="548"/>
    </row>
    <row r="9" spans="1:13" ht="31.5">
      <c r="A9" s="552"/>
      <c r="B9" s="552"/>
      <c r="C9" s="552"/>
      <c r="D9" s="230" t="s">
        <v>102</v>
      </c>
      <c r="E9" s="230" t="s">
        <v>103</v>
      </c>
      <c r="F9" s="230" t="s">
        <v>488</v>
      </c>
      <c r="G9" s="230" t="s">
        <v>489</v>
      </c>
      <c r="H9" s="552"/>
      <c r="I9" s="214" t="s">
        <v>227</v>
      </c>
      <c r="J9" s="433" t="s">
        <v>616</v>
      </c>
      <c r="K9" s="263" t="s">
        <v>228</v>
      </c>
      <c r="L9" s="201" t="s">
        <v>1316</v>
      </c>
      <c r="M9" s="553" t="s">
        <v>1449</v>
      </c>
    </row>
    <row r="10" spans="1:13" ht="15.75">
      <c r="A10" s="231" t="s">
        <v>68</v>
      </c>
      <c r="B10" s="231" t="s">
        <v>60</v>
      </c>
      <c r="C10" s="231" t="s">
        <v>232</v>
      </c>
      <c r="D10" s="231" t="s">
        <v>143</v>
      </c>
      <c r="E10" s="231" t="s">
        <v>92</v>
      </c>
      <c r="F10" s="231">
        <v>6</v>
      </c>
      <c r="G10" s="231">
        <v>7</v>
      </c>
      <c r="H10" s="231">
        <v>8</v>
      </c>
      <c r="I10" s="231" t="s">
        <v>93</v>
      </c>
      <c r="J10" s="487">
        <v>9</v>
      </c>
      <c r="K10" s="323">
        <v>10</v>
      </c>
      <c r="L10" s="201"/>
      <c r="M10" s="554"/>
    </row>
    <row r="11" spans="1:15" ht="15.75">
      <c r="A11" s="233" t="s">
        <v>154</v>
      </c>
      <c r="B11" s="234" t="s">
        <v>153</v>
      </c>
      <c r="C11" s="234"/>
      <c r="D11" s="234"/>
      <c r="E11" s="234"/>
      <c r="F11" s="234"/>
      <c r="G11" s="234"/>
      <c r="H11" s="234"/>
      <c r="I11" s="508" t="e">
        <f>I12+I48+I51+I78+I104+I110+I129+I146</f>
        <v>#REF!</v>
      </c>
      <c r="J11" s="434">
        <f>J12+J48+J51+J78+J104+J110+J129+J146</f>
        <v>0</v>
      </c>
      <c r="K11" s="205">
        <f>K12+K48+K51+K78+K104+K110+K129+K146</f>
        <v>161785953.29</v>
      </c>
      <c r="L11" s="205" t="e">
        <f>L12+L48+L51+L78+L104+L110+L129+L146</f>
        <v>#REF!</v>
      </c>
      <c r="M11" s="205">
        <f>M12+M48+M51+M78+M104+M110+M129+M146</f>
        <v>87375793.52</v>
      </c>
      <c r="O11" s="440">
        <v>147945191.66</v>
      </c>
    </row>
    <row r="12" spans="1:15" ht="15.75">
      <c r="A12" s="235" t="s">
        <v>283</v>
      </c>
      <c r="B12" s="23" t="s">
        <v>153</v>
      </c>
      <c r="C12" s="23" t="s">
        <v>284</v>
      </c>
      <c r="D12" s="23"/>
      <c r="E12" s="23"/>
      <c r="F12" s="23"/>
      <c r="G12" s="23"/>
      <c r="H12" s="23"/>
      <c r="I12" s="70">
        <f>I15+I22</f>
        <v>-1006</v>
      </c>
      <c r="J12" s="277">
        <f>J13+J15+J22</f>
        <v>0</v>
      </c>
      <c r="K12" s="24">
        <f>K13+K15+K22</f>
        <v>42429663.739999995</v>
      </c>
      <c r="L12" s="24" t="e">
        <f>L13+L15+L22+#REF!</f>
        <v>#REF!</v>
      </c>
      <c r="M12" s="24">
        <f>M13+M15+M22</f>
        <v>41648779.68000001</v>
      </c>
      <c r="N12" s="442">
        <f aca="true" t="shared" si="0" ref="N12:N69">M12+J12</f>
        <v>41648779.68000001</v>
      </c>
      <c r="O12" s="440">
        <v>41700042.99</v>
      </c>
    </row>
    <row r="13" spans="1:15" ht="47.25">
      <c r="A13" s="235" t="s">
        <v>251</v>
      </c>
      <c r="B13" s="23" t="s">
        <v>153</v>
      </c>
      <c r="C13" s="23" t="s">
        <v>128</v>
      </c>
      <c r="D13" s="23"/>
      <c r="E13" s="23"/>
      <c r="F13" s="23"/>
      <c r="G13" s="23"/>
      <c r="H13" s="23"/>
      <c r="I13" s="70">
        <f>I14</f>
        <v>0</v>
      </c>
      <c r="J13" s="277">
        <f>J14</f>
        <v>0</v>
      </c>
      <c r="K13" s="24">
        <f>K14</f>
        <v>1298844</v>
      </c>
      <c r="L13" s="24">
        <f>L14</f>
        <v>54770</v>
      </c>
      <c r="M13" s="24">
        <f>M14</f>
        <v>1298844</v>
      </c>
      <c r="N13" s="442">
        <f t="shared" si="0"/>
        <v>1298844</v>
      </c>
      <c r="O13" s="440">
        <v>1298844</v>
      </c>
    </row>
    <row r="14" spans="1:15" ht="81.75" customHeight="1">
      <c r="A14" s="63" t="s">
        <v>552</v>
      </c>
      <c r="B14" s="21" t="s">
        <v>153</v>
      </c>
      <c r="C14" s="21" t="s">
        <v>128</v>
      </c>
      <c r="D14" s="21" t="s">
        <v>119</v>
      </c>
      <c r="E14" s="21" t="s">
        <v>60</v>
      </c>
      <c r="F14" s="21" t="s">
        <v>69</v>
      </c>
      <c r="G14" s="133" t="s">
        <v>491</v>
      </c>
      <c r="H14" s="21" t="s">
        <v>163</v>
      </c>
      <c r="I14" s="85"/>
      <c r="J14" s="162"/>
      <c r="K14" s="236">
        <v>1298844</v>
      </c>
      <c r="L14" s="201">
        <v>54770</v>
      </c>
      <c r="M14" s="236">
        <v>1298844</v>
      </c>
      <c r="N14" s="442">
        <f t="shared" si="0"/>
        <v>1298844</v>
      </c>
      <c r="O14" s="440">
        <v>1298844</v>
      </c>
    </row>
    <row r="15" spans="1:15" ht="67.5" customHeight="1">
      <c r="A15" s="235" t="s">
        <v>285</v>
      </c>
      <c r="B15" s="23" t="s">
        <v>153</v>
      </c>
      <c r="C15" s="23" t="s">
        <v>286</v>
      </c>
      <c r="D15" s="23"/>
      <c r="E15" s="23"/>
      <c r="F15" s="23"/>
      <c r="G15" s="23"/>
      <c r="H15" s="23"/>
      <c r="I15" s="70">
        <f>SUM(I16:I21)</f>
        <v>-635.0999999999999</v>
      </c>
      <c r="J15" s="277">
        <f>SUM(J16:J21)</f>
        <v>0</v>
      </c>
      <c r="K15" s="24">
        <f>SUM(K16:K21)</f>
        <v>21780609.68</v>
      </c>
      <c r="L15" s="24">
        <f>SUM(L16:L21)</f>
        <v>919918.3900000006</v>
      </c>
      <c r="M15" s="24">
        <f>SUM(M16:M21)</f>
        <v>21780264.76</v>
      </c>
      <c r="N15" s="442">
        <f t="shared" si="0"/>
        <v>21780264.76</v>
      </c>
      <c r="O15" s="440">
        <v>21780609.680000003</v>
      </c>
    </row>
    <row r="16" spans="1:15" ht="99" customHeight="1">
      <c r="A16" s="63" t="s">
        <v>487</v>
      </c>
      <c r="B16" s="22" t="s">
        <v>153</v>
      </c>
      <c r="C16" s="22" t="s">
        <v>286</v>
      </c>
      <c r="D16" s="22" t="s">
        <v>119</v>
      </c>
      <c r="E16" s="22" t="s">
        <v>60</v>
      </c>
      <c r="F16" s="22" t="s">
        <v>119</v>
      </c>
      <c r="G16" s="133" t="s">
        <v>490</v>
      </c>
      <c r="H16" s="22" t="s">
        <v>163</v>
      </c>
      <c r="I16" s="86">
        <v>446.5</v>
      </c>
      <c r="J16" s="162"/>
      <c r="K16" s="236">
        <v>19603598.4</v>
      </c>
      <c r="L16" s="201">
        <v>919918.3900000006</v>
      </c>
      <c r="M16" s="236">
        <v>19682854.39</v>
      </c>
      <c r="N16" s="442">
        <f t="shared" si="0"/>
        <v>19682854.39</v>
      </c>
      <c r="O16" s="440">
        <v>19682854.39</v>
      </c>
    </row>
    <row r="17" spans="1:15" ht="54" customHeight="1">
      <c r="A17" s="63" t="s">
        <v>590</v>
      </c>
      <c r="B17" s="22" t="s">
        <v>153</v>
      </c>
      <c r="C17" s="22" t="s">
        <v>286</v>
      </c>
      <c r="D17" s="22" t="s">
        <v>119</v>
      </c>
      <c r="E17" s="22" t="s">
        <v>60</v>
      </c>
      <c r="F17" s="22" t="s">
        <v>119</v>
      </c>
      <c r="G17" s="133" t="s">
        <v>490</v>
      </c>
      <c r="H17" s="22" t="s">
        <v>164</v>
      </c>
      <c r="I17" s="86">
        <v>-1281.6</v>
      </c>
      <c r="J17" s="162"/>
      <c r="K17" s="135">
        <v>1685610.65</v>
      </c>
      <c r="L17" s="201"/>
      <c r="M17" s="135">
        <f>1585184.56+21324.95-154.85</f>
        <v>1606354.66</v>
      </c>
      <c r="N17" s="442">
        <f t="shared" si="0"/>
        <v>1606354.66</v>
      </c>
      <c r="O17" s="440">
        <v>1606354.66</v>
      </c>
    </row>
    <row r="18" spans="1:15" ht="50.25" customHeight="1">
      <c r="A18" s="63" t="s">
        <v>1019</v>
      </c>
      <c r="B18" s="22" t="s">
        <v>153</v>
      </c>
      <c r="C18" s="22" t="s">
        <v>286</v>
      </c>
      <c r="D18" s="22" t="s">
        <v>119</v>
      </c>
      <c r="E18" s="22" t="s">
        <v>60</v>
      </c>
      <c r="F18" s="22" t="s">
        <v>119</v>
      </c>
      <c r="G18" s="133" t="s">
        <v>490</v>
      </c>
      <c r="H18" s="22" t="s">
        <v>110</v>
      </c>
      <c r="I18" s="86"/>
      <c r="J18" s="162"/>
      <c r="K18" s="236"/>
      <c r="L18" s="201"/>
      <c r="M18" s="236"/>
      <c r="N18" s="442">
        <f t="shared" si="0"/>
        <v>0</v>
      </c>
      <c r="O18" s="440"/>
    </row>
    <row r="19" spans="1:15" ht="34.5" customHeight="1">
      <c r="A19" s="63" t="s">
        <v>356</v>
      </c>
      <c r="B19" s="22" t="s">
        <v>153</v>
      </c>
      <c r="C19" s="22" t="s">
        <v>286</v>
      </c>
      <c r="D19" s="22" t="s">
        <v>119</v>
      </c>
      <c r="E19" s="22" t="s">
        <v>60</v>
      </c>
      <c r="F19" s="22" t="s">
        <v>119</v>
      </c>
      <c r="G19" s="133" t="s">
        <v>490</v>
      </c>
      <c r="H19" s="22" t="s">
        <v>165</v>
      </c>
      <c r="I19" s="86">
        <v>200</v>
      </c>
      <c r="J19" s="162"/>
      <c r="K19" s="236">
        <v>58000</v>
      </c>
      <c r="L19" s="201"/>
      <c r="M19" s="236">
        <v>58000</v>
      </c>
      <c r="N19" s="442">
        <f t="shared" si="0"/>
        <v>58000</v>
      </c>
      <c r="O19" s="440">
        <v>58000</v>
      </c>
    </row>
    <row r="20" spans="1:15" ht="119.25" customHeight="1">
      <c r="A20" s="63" t="s">
        <v>557</v>
      </c>
      <c r="B20" s="21" t="s">
        <v>153</v>
      </c>
      <c r="C20" s="21" t="s">
        <v>286</v>
      </c>
      <c r="D20" s="21" t="s">
        <v>231</v>
      </c>
      <c r="E20" s="21" t="s">
        <v>68</v>
      </c>
      <c r="F20" s="21" t="s">
        <v>119</v>
      </c>
      <c r="G20" s="133" t="s">
        <v>492</v>
      </c>
      <c r="H20" s="21" t="s">
        <v>163</v>
      </c>
      <c r="I20" s="85">
        <v>5.3</v>
      </c>
      <c r="J20" s="165"/>
      <c r="K20" s="236">
        <v>417080.92</v>
      </c>
      <c r="L20" s="201"/>
      <c r="M20" s="236">
        <v>416736</v>
      </c>
      <c r="N20" s="442">
        <f t="shared" si="0"/>
        <v>416736</v>
      </c>
      <c r="O20" s="440">
        <v>417080.92</v>
      </c>
    </row>
    <row r="21" spans="1:15" ht="63">
      <c r="A21" s="63" t="s">
        <v>599</v>
      </c>
      <c r="B21" s="21" t="s">
        <v>153</v>
      </c>
      <c r="C21" s="21" t="s">
        <v>286</v>
      </c>
      <c r="D21" s="21" t="s">
        <v>231</v>
      </c>
      <c r="E21" s="21" t="s">
        <v>68</v>
      </c>
      <c r="F21" s="21" t="s">
        <v>119</v>
      </c>
      <c r="G21" s="133" t="s">
        <v>492</v>
      </c>
      <c r="H21" s="21" t="s">
        <v>164</v>
      </c>
      <c r="I21" s="85">
        <v>-5.3</v>
      </c>
      <c r="J21" s="165"/>
      <c r="K21" s="236">
        <v>16319.71</v>
      </c>
      <c r="L21" s="201"/>
      <c r="M21" s="236">
        <v>16319.71</v>
      </c>
      <c r="N21" s="442">
        <f t="shared" si="0"/>
        <v>16319.71</v>
      </c>
      <c r="O21" s="440">
        <v>16319.71</v>
      </c>
    </row>
    <row r="22" spans="1:15" ht="15.75">
      <c r="A22" s="235" t="s">
        <v>314</v>
      </c>
      <c r="B22" s="23" t="s">
        <v>153</v>
      </c>
      <c r="C22" s="23" t="s">
        <v>315</v>
      </c>
      <c r="D22" s="23"/>
      <c r="E22" s="23"/>
      <c r="F22" s="23"/>
      <c r="G22" s="23"/>
      <c r="H22" s="23"/>
      <c r="I22" s="87">
        <f>SUM(I27:I36)</f>
        <v>-370.90000000000003</v>
      </c>
      <c r="J22" s="435">
        <f>SUM(J23:J47)</f>
        <v>0</v>
      </c>
      <c r="K22" s="94">
        <f>SUM(K23:K47)</f>
        <v>19350210.06</v>
      </c>
      <c r="L22" s="94">
        <f>SUM(L23:L47)</f>
        <v>850089.94</v>
      </c>
      <c r="M22" s="94">
        <f>SUM(M23:M47)</f>
        <v>18569670.92</v>
      </c>
      <c r="N22" s="442">
        <f t="shared" si="0"/>
        <v>18569670.92</v>
      </c>
      <c r="O22" s="440">
        <v>18620589.31</v>
      </c>
    </row>
    <row r="23" spans="1:15" ht="99.75" customHeight="1">
      <c r="A23" s="124" t="s">
        <v>966</v>
      </c>
      <c r="B23" s="22" t="s">
        <v>153</v>
      </c>
      <c r="C23" s="22" t="s">
        <v>315</v>
      </c>
      <c r="D23" s="22" t="s">
        <v>119</v>
      </c>
      <c r="E23" s="22" t="s">
        <v>143</v>
      </c>
      <c r="F23" s="22" t="s">
        <v>69</v>
      </c>
      <c r="G23" s="133" t="s">
        <v>560</v>
      </c>
      <c r="H23" s="22" t="s">
        <v>163</v>
      </c>
      <c r="I23" s="101"/>
      <c r="J23" s="436"/>
      <c r="K23" s="236">
        <v>3756619</v>
      </c>
      <c r="L23" s="201">
        <v>396826</v>
      </c>
      <c r="M23" s="236">
        <v>3756619</v>
      </c>
      <c r="N23" s="442">
        <f t="shared" si="0"/>
        <v>3756619</v>
      </c>
      <c r="O23" s="440">
        <v>3756619</v>
      </c>
    </row>
    <row r="24" spans="1:15" ht="63">
      <c r="A24" s="124" t="s">
        <v>964</v>
      </c>
      <c r="B24" s="22" t="s">
        <v>153</v>
      </c>
      <c r="C24" s="22" t="s">
        <v>315</v>
      </c>
      <c r="D24" s="22" t="s">
        <v>119</v>
      </c>
      <c r="E24" s="22" t="s">
        <v>143</v>
      </c>
      <c r="F24" s="22" t="s">
        <v>69</v>
      </c>
      <c r="G24" s="133" t="s">
        <v>560</v>
      </c>
      <c r="H24" s="22" t="s">
        <v>164</v>
      </c>
      <c r="I24" s="101"/>
      <c r="J24" s="436"/>
      <c r="K24" s="236">
        <v>8355746.76</v>
      </c>
      <c r="L24" s="201"/>
      <c r="M24" s="236">
        <v>3895158.76</v>
      </c>
      <c r="N24" s="442">
        <f t="shared" si="0"/>
        <v>3895158.76</v>
      </c>
      <c r="O24" s="256">
        <v>7506466.76</v>
      </c>
    </row>
    <row r="25" spans="1:15" ht="47.25">
      <c r="A25" s="124" t="s">
        <v>965</v>
      </c>
      <c r="B25" s="22" t="s">
        <v>153</v>
      </c>
      <c r="C25" s="22" t="s">
        <v>315</v>
      </c>
      <c r="D25" s="22" t="s">
        <v>119</v>
      </c>
      <c r="E25" s="22" t="s">
        <v>143</v>
      </c>
      <c r="F25" s="22" t="s">
        <v>69</v>
      </c>
      <c r="G25" s="133" t="s">
        <v>560</v>
      </c>
      <c r="H25" s="22" t="s">
        <v>165</v>
      </c>
      <c r="I25" s="101"/>
      <c r="J25" s="436"/>
      <c r="K25" s="236">
        <v>133000</v>
      </c>
      <c r="L25" s="201"/>
      <c r="M25" s="236">
        <v>133000</v>
      </c>
      <c r="N25" s="442">
        <f t="shared" si="0"/>
        <v>133000</v>
      </c>
      <c r="O25" s="440">
        <v>133000</v>
      </c>
    </row>
    <row r="26" spans="1:15" ht="63">
      <c r="A26" s="63" t="s">
        <v>598</v>
      </c>
      <c r="B26" s="22" t="s">
        <v>153</v>
      </c>
      <c r="C26" s="22" t="s">
        <v>315</v>
      </c>
      <c r="D26" s="22" t="s">
        <v>231</v>
      </c>
      <c r="E26" s="22" t="s">
        <v>68</v>
      </c>
      <c r="F26" s="22" t="s">
        <v>119</v>
      </c>
      <c r="G26" s="133" t="s">
        <v>493</v>
      </c>
      <c r="H26" s="22" t="s">
        <v>164</v>
      </c>
      <c r="I26" s="101"/>
      <c r="J26" s="436"/>
      <c r="K26" s="236">
        <v>10666.5</v>
      </c>
      <c r="L26" s="201"/>
      <c r="M26" s="236">
        <v>10666.5</v>
      </c>
      <c r="N26" s="442">
        <f t="shared" si="0"/>
        <v>10666.5</v>
      </c>
      <c r="O26" s="440">
        <v>10666.5</v>
      </c>
    </row>
    <row r="27" spans="1:15" ht="63">
      <c r="A27" s="63" t="s">
        <v>596</v>
      </c>
      <c r="B27" s="22" t="s">
        <v>153</v>
      </c>
      <c r="C27" s="22" t="s">
        <v>315</v>
      </c>
      <c r="D27" s="22" t="s">
        <v>119</v>
      </c>
      <c r="E27" s="22" t="s">
        <v>60</v>
      </c>
      <c r="F27" s="22" t="s">
        <v>241</v>
      </c>
      <c r="G27" s="133" t="s">
        <v>494</v>
      </c>
      <c r="H27" s="22" t="s">
        <v>164</v>
      </c>
      <c r="I27" s="86">
        <v>50</v>
      </c>
      <c r="J27" s="162"/>
      <c r="K27" s="236">
        <v>562874.4</v>
      </c>
      <c r="L27" s="201"/>
      <c r="M27" s="236">
        <v>562874.4</v>
      </c>
      <c r="N27" s="442">
        <f t="shared" si="0"/>
        <v>562874.4</v>
      </c>
      <c r="O27" s="440">
        <v>562874.4</v>
      </c>
    </row>
    <row r="28" spans="1:15" ht="63">
      <c r="A28" s="221" t="s">
        <v>595</v>
      </c>
      <c r="B28" s="133" t="s">
        <v>153</v>
      </c>
      <c r="C28" s="133" t="s">
        <v>315</v>
      </c>
      <c r="D28" s="133" t="s">
        <v>119</v>
      </c>
      <c r="E28" s="133" t="s">
        <v>60</v>
      </c>
      <c r="F28" s="133" t="s">
        <v>119</v>
      </c>
      <c r="G28" s="133" t="s">
        <v>495</v>
      </c>
      <c r="H28" s="133" t="s">
        <v>164</v>
      </c>
      <c r="I28" s="164">
        <v>-13.8</v>
      </c>
      <c r="J28" s="246"/>
      <c r="K28" s="236">
        <f>360600-70300+6500</f>
        <v>296800</v>
      </c>
      <c r="L28" s="201"/>
      <c r="M28" s="236">
        <f>360600-70300+6500</f>
        <v>296800</v>
      </c>
      <c r="N28" s="442">
        <f t="shared" si="0"/>
        <v>296800</v>
      </c>
      <c r="O28" s="440">
        <v>296800</v>
      </c>
    </row>
    <row r="29" spans="1:15" ht="53.25" customHeight="1">
      <c r="A29" s="221" t="s">
        <v>618</v>
      </c>
      <c r="B29" s="247">
        <v>900</v>
      </c>
      <c r="C29" s="248" t="s">
        <v>315</v>
      </c>
      <c r="D29" s="248" t="s">
        <v>119</v>
      </c>
      <c r="E29" s="248" t="s">
        <v>60</v>
      </c>
      <c r="F29" s="248" t="s">
        <v>119</v>
      </c>
      <c r="G29" s="248" t="s">
        <v>1325</v>
      </c>
      <c r="H29" s="248" t="s">
        <v>110</v>
      </c>
      <c r="I29" s="164"/>
      <c r="J29" s="246"/>
      <c r="K29" s="236">
        <v>9000</v>
      </c>
      <c r="L29" s="210"/>
      <c r="M29" s="236">
        <v>9000</v>
      </c>
      <c r="N29" s="442">
        <f t="shared" si="0"/>
        <v>9000</v>
      </c>
      <c r="O29" s="440">
        <v>9000</v>
      </c>
    </row>
    <row r="30" spans="1:15" ht="62.25" customHeight="1">
      <c r="A30" s="69" t="s">
        <v>611</v>
      </c>
      <c r="B30" s="22" t="s">
        <v>153</v>
      </c>
      <c r="C30" s="22" t="s">
        <v>315</v>
      </c>
      <c r="D30" s="22" t="s">
        <v>69</v>
      </c>
      <c r="E30" s="22" t="s">
        <v>68</v>
      </c>
      <c r="F30" s="22" t="s">
        <v>69</v>
      </c>
      <c r="G30" s="133" t="s">
        <v>496</v>
      </c>
      <c r="H30" s="22" t="s">
        <v>164</v>
      </c>
      <c r="I30" s="86">
        <v>-360</v>
      </c>
      <c r="J30" s="162"/>
      <c r="K30" s="236">
        <v>843718.79</v>
      </c>
      <c r="L30" s="201"/>
      <c r="M30" s="236">
        <v>698827.09</v>
      </c>
      <c r="N30" s="442">
        <f t="shared" si="0"/>
        <v>698827.09</v>
      </c>
      <c r="O30" s="440">
        <v>843718.79</v>
      </c>
    </row>
    <row r="31" spans="1:15" ht="79.5" customHeight="1">
      <c r="A31" s="69" t="s">
        <v>664</v>
      </c>
      <c r="B31" s="22" t="s">
        <v>153</v>
      </c>
      <c r="C31" s="22" t="s">
        <v>315</v>
      </c>
      <c r="D31" s="22" t="s">
        <v>61</v>
      </c>
      <c r="E31" s="22" t="s">
        <v>60</v>
      </c>
      <c r="F31" s="22" t="s">
        <v>119</v>
      </c>
      <c r="G31" s="133" t="s">
        <v>679</v>
      </c>
      <c r="H31" s="22" t="s">
        <v>164</v>
      </c>
      <c r="I31" s="86"/>
      <c r="J31" s="162"/>
      <c r="K31" s="236">
        <v>1573164</v>
      </c>
      <c r="L31" s="201"/>
      <c r="M31" s="236">
        <v>1484164</v>
      </c>
      <c r="N31" s="442">
        <f t="shared" si="0"/>
        <v>1484164</v>
      </c>
      <c r="O31" s="440">
        <v>1573164</v>
      </c>
    </row>
    <row r="32" spans="1:15" ht="112.5" customHeight="1">
      <c r="A32" s="64" t="s">
        <v>950</v>
      </c>
      <c r="B32" s="21" t="s">
        <v>153</v>
      </c>
      <c r="C32" s="21" t="s">
        <v>315</v>
      </c>
      <c r="D32" s="21" t="s">
        <v>119</v>
      </c>
      <c r="E32" s="21" t="s">
        <v>68</v>
      </c>
      <c r="F32" s="21" t="s">
        <v>69</v>
      </c>
      <c r="G32" s="133" t="s">
        <v>497</v>
      </c>
      <c r="H32" s="21" t="s">
        <v>164</v>
      </c>
      <c r="I32" s="85">
        <v>-47.1</v>
      </c>
      <c r="J32" s="165"/>
      <c r="K32" s="236">
        <f>145900-30000</f>
        <v>115900</v>
      </c>
      <c r="L32" s="201"/>
      <c r="M32" s="236">
        <f>145900-30000</f>
        <v>115900</v>
      </c>
      <c r="N32" s="442">
        <f t="shared" si="0"/>
        <v>115900</v>
      </c>
      <c r="O32" s="440">
        <v>115900</v>
      </c>
    </row>
    <row r="33" spans="1:15" ht="47.25">
      <c r="A33" s="220" t="s">
        <v>622</v>
      </c>
      <c r="B33" s="21" t="s">
        <v>153</v>
      </c>
      <c r="C33" s="21" t="s">
        <v>315</v>
      </c>
      <c r="D33" s="21" t="s">
        <v>162</v>
      </c>
      <c r="E33" s="21" t="s">
        <v>118</v>
      </c>
      <c r="F33" s="21" t="s">
        <v>498</v>
      </c>
      <c r="G33" s="133" t="s">
        <v>499</v>
      </c>
      <c r="H33" s="21" t="s">
        <v>165</v>
      </c>
      <c r="I33" s="85"/>
      <c r="J33" s="165"/>
      <c r="K33" s="236">
        <v>44022</v>
      </c>
      <c r="L33" s="201"/>
      <c r="M33" s="236">
        <v>44022</v>
      </c>
      <c r="N33" s="442">
        <f t="shared" si="0"/>
        <v>44022</v>
      </c>
      <c r="O33" s="440">
        <v>44022</v>
      </c>
    </row>
    <row r="34" spans="1:15" ht="111.75" customHeight="1">
      <c r="A34" s="220" t="s">
        <v>999</v>
      </c>
      <c r="B34" s="21" t="s">
        <v>153</v>
      </c>
      <c r="C34" s="21" t="s">
        <v>315</v>
      </c>
      <c r="D34" s="21" t="s">
        <v>119</v>
      </c>
      <c r="E34" s="21" t="s">
        <v>232</v>
      </c>
      <c r="F34" s="21" t="s">
        <v>69</v>
      </c>
      <c r="G34" s="133" t="s">
        <v>500</v>
      </c>
      <c r="H34" s="21" t="s">
        <v>164</v>
      </c>
      <c r="I34" s="85"/>
      <c r="J34" s="165"/>
      <c r="K34" s="236">
        <v>292970.57</v>
      </c>
      <c r="L34" s="201"/>
      <c r="M34" s="236">
        <v>292660.23</v>
      </c>
      <c r="N34" s="442">
        <f t="shared" si="0"/>
        <v>292660.23</v>
      </c>
      <c r="O34" s="256">
        <v>292970.57</v>
      </c>
    </row>
    <row r="35" spans="1:15" ht="47.25">
      <c r="A35" s="64" t="s">
        <v>602</v>
      </c>
      <c r="B35" s="21" t="s">
        <v>153</v>
      </c>
      <c r="C35" s="21" t="s">
        <v>315</v>
      </c>
      <c r="D35" s="21" t="s">
        <v>61</v>
      </c>
      <c r="E35" s="21" t="s">
        <v>60</v>
      </c>
      <c r="F35" s="21" t="s">
        <v>119</v>
      </c>
      <c r="G35" s="133" t="s">
        <v>644</v>
      </c>
      <c r="H35" s="21" t="s">
        <v>164</v>
      </c>
      <c r="I35" s="85"/>
      <c r="J35" s="165"/>
      <c r="K35" s="236">
        <v>115836</v>
      </c>
      <c r="L35" s="201"/>
      <c r="M35" s="236">
        <v>115836</v>
      </c>
      <c r="N35" s="442">
        <f t="shared" si="0"/>
        <v>115836</v>
      </c>
      <c r="O35" s="440">
        <v>115836</v>
      </c>
    </row>
    <row r="36" spans="1:15" ht="78.75">
      <c r="A36" s="63" t="s">
        <v>636</v>
      </c>
      <c r="B36" s="21" t="s">
        <v>153</v>
      </c>
      <c r="C36" s="21" t="s">
        <v>315</v>
      </c>
      <c r="D36" s="21" t="s">
        <v>162</v>
      </c>
      <c r="E36" s="21" t="s">
        <v>118</v>
      </c>
      <c r="F36" s="21" t="s">
        <v>498</v>
      </c>
      <c r="G36" s="133" t="s">
        <v>637</v>
      </c>
      <c r="H36" s="21" t="s">
        <v>164</v>
      </c>
      <c r="I36" s="85"/>
      <c r="J36" s="165"/>
      <c r="K36" s="236">
        <v>0</v>
      </c>
      <c r="L36" s="201"/>
      <c r="M36" s="236">
        <v>119659.25</v>
      </c>
      <c r="N36" s="442">
        <f t="shared" si="0"/>
        <v>119659.25</v>
      </c>
      <c r="O36" s="440">
        <v>119659.25</v>
      </c>
    </row>
    <row r="37" spans="1:15" ht="50.25" customHeight="1">
      <c r="A37" s="63" t="s">
        <v>914</v>
      </c>
      <c r="B37" s="21" t="s">
        <v>153</v>
      </c>
      <c r="C37" s="21" t="s">
        <v>315</v>
      </c>
      <c r="D37" s="21" t="s">
        <v>162</v>
      </c>
      <c r="E37" s="21" t="s">
        <v>118</v>
      </c>
      <c r="F37" s="21" t="s">
        <v>498</v>
      </c>
      <c r="G37" s="133" t="s">
        <v>963</v>
      </c>
      <c r="H37" s="21" t="s">
        <v>164</v>
      </c>
      <c r="I37" s="85"/>
      <c r="J37" s="165"/>
      <c r="K37" s="236">
        <v>816533.33</v>
      </c>
      <c r="L37" s="201"/>
      <c r="M37" s="236">
        <v>816533.33</v>
      </c>
      <c r="N37" s="442">
        <f t="shared" si="0"/>
        <v>816533.33</v>
      </c>
      <c r="O37" s="440">
        <v>816533.33</v>
      </c>
    </row>
    <row r="38" spans="1:15" ht="93.75" customHeight="1">
      <c r="A38" s="69" t="s">
        <v>978</v>
      </c>
      <c r="B38" s="21" t="s">
        <v>153</v>
      </c>
      <c r="C38" s="21" t="s">
        <v>315</v>
      </c>
      <c r="D38" s="21">
        <v>11</v>
      </c>
      <c r="E38" s="21" t="s">
        <v>60</v>
      </c>
      <c r="F38" s="21" t="s">
        <v>119</v>
      </c>
      <c r="G38" s="133" t="s">
        <v>693</v>
      </c>
      <c r="H38" s="21" t="s">
        <v>163</v>
      </c>
      <c r="I38" s="85"/>
      <c r="J38" s="165"/>
      <c r="K38" s="236">
        <v>15000</v>
      </c>
      <c r="L38" s="201"/>
      <c r="M38" s="236">
        <v>15000</v>
      </c>
      <c r="N38" s="442">
        <f t="shared" si="0"/>
        <v>15000</v>
      </c>
      <c r="O38" s="440">
        <v>15000</v>
      </c>
    </row>
    <row r="39" spans="1:15" ht="66.75" customHeight="1">
      <c r="A39" s="69" t="s">
        <v>979</v>
      </c>
      <c r="B39" s="21" t="s">
        <v>153</v>
      </c>
      <c r="C39" s="21" t="s">
        <v>315</v>
      </c>
      <c r="D39" s="21">
        <v>11</v>
      </c>
      <c r="E39" s="21" t="s">
        <v>60</v>
      </c>
      <c r="F39" s="21" t="s">
        <v>119</v>
      </c>
      <c r="G39" s="133" t="s">
        <v>980</v>
      </c>
      <c r="H39" s="21" t="s">
        <v>164</v>
      </c>
      <c r="I39" s="85"/>
      <c r="J39" s="165"/>
      <c r="K39" s="236">
        <v>5000</v>
      </c>
      <c r="L39" s="201"/>
      <c r="M39" s="236">
        <v>5000</v>
      </c>
      <c r="N39" s="442">
        <f t="shared" si="0"/>
        <v>5000</v>
      </c>
      <c r="O39" s="440">
        <v>5000</v>
      </c>
    </row>
    <row r="40" spans="1:15" ht="63" customHeight="1">
      <c r="A40" s="69" t="s">
        <v>946</v>
      </c>
      <c r="B40" s="21" t="s">
        <v>153</v>
      </c>
      <c r="C40" s="21" t="s">
        <v>315</v>
      </c>
      <c r="D40" s="21">
        <v>11</v>
      </c>
      <c r="E40" s="21" t="s">
        <v>60</v>
      </c>
      <c r="F40" s="21" t="s">
        <v>119</v>
      </c>
      <c r="G40" s="133" t="s">
        <v>951</v>
      </c>
      <c r="H40" s="21" t="s">
        <v>164</v>
      </c>
      <c r="I40" s="85"/>
      <c r="J40" s="165"/>
      <c r="K40" s="236">
        <v>37400</v>
      </c>
      <c r="L40" s="201"/>
      <c r="M40" s="236">
        <v>37400</v>
      </c>
      <c r="N40" s="442">
        <f t="shared" si="0"/>
        <v>37400</v>
      </c>
      <c r="O40" s="440">
        <v>37400</v>
      </c>
    </row>
    <row r="41" spans="1:15" ht="52.5" customHeight="1">
      <c r="A41" s="63" t="s">
        <v>1061</v>
      </c>
      <c r="B41" s="21" t="s">
        <v>153</v>
      </c>
      <c r="C41" s="21" t="s">
        <v>315</v>
      </c>
      <c r="D41" s="21">
        <v>11</v>
      </c>
      <c r="E41" s="21" t="s">
        <v>68</v>
      </c>
      <c r="F41" s="21" t="s">
        <v>119</v>
      </c>
      <c r="G41" s="133" t="s">
        <v>694</v>
      </c>
      <c r="H41" s="21" t="s">
        <v>164</v>
      </c>
      <c r="I41" s="85"/>
      <c r="J41" s="165"/>
      <c r="K41" s="236">
        <v>10000</v>
      </c>
      <c r="L41" s="201"/>
      <c r="M41" s="236">
        <v>10000</v>
      </c>
      <c r="N41" s="442">
        <f t="shared" si="0"/>
        <v>10000</v>
      </c>
      <c r="O41" s="440">
        <v>10000</v>
      </c>
    </row>
    <row r="42" spans="1:15" ht="63" customHeight="1">
      <c r="A42" s="63" t="s">
        <v>1022</v>
      </c>
      <c r="B42" s="21" t="s">
        <v>153</v>
      </c>
      <c r="C42" s="21" t="s">
        <v>315</v>
      </c>
      <c r="D42" s="21">
        <v>11</v>
      </c>
      <c r="E42" s="21" t="s">
        <v>68</v>
      </c>
      <c r="F42" s="21" t="s">
        <v>119</v>
      </c>
      <c r="G42" s="133" t="s">
        <v>1012</v>
      </c>
      <c r="H42" s="21" t="s">
        <v>164</v>
      </c>
      <c r="I42" s="85"/>
      <c r="J42" s="165"/>
      <c r="K42" s="236">
        <v>12240</v>
      </c>
      <c r="L42" s="201"/>
      <c r="M42" s="236">
        <v>12240</v>
      </c>
      <c r="N42" s="442">
        <f t="shared" si="0"/>
        <v>12240</v>
      </c>
      <c r="O42" s="440">
        <v>12240</v>
      </c>
    </row>
    <row r="43" spans="1:15" ht="63" customHeight="1">
      <c r="A43" s="221" t="s">
        <v>762</v>
      </c>
      <c r="B43" s="133" t="s">
        <v>153</v>
      </c>
      <c r="C43" s="133" t="s">
        <v>315</v>
      </c>
      <c r="D43" s="133" t="s">
        <v>162</v>
      </c>
      <c r="E43" s="133" t="s">
        <v>118</v>
      </c>
      <c r="F43" s="133" t="s">
        <v>498</v>
      </c>
      <c r="G43" s="133" t="s">
        <v>763</v>
      </c>
      <c r="H43" s="133" t="s">
        <v>164</v>
      </c>
      <c r="I43" s="164"/>
      <c r="J43" s="246"/>
      <c r="K43" s="135">
        <v>0</v>
      </c>
      <c r="L43" s="201"/>
      <c r="M43" s="135">
        <v>4289425.6</v>
      </c>
      <c r="N43" s="442">
        <f t="shared" si="0"/>
        <v>4289425.6</v>
      </c>
      <c r="O43" s="474">
        <v>0</v>
      </c>
    </row>
    <row r="44" spans="1:15" ht="177" customHeight="1">
      <c r="A44" s="63" t="s">
        <v>621</v>
      </c>
      <c r="B44" s="21" t="s">
        <v>153</v>
      </c>
      <c r="C44" s="21" t="s">
        <v>315</v>
      </c>
      <c r="D44" s="21" t="s">
        <v>162</v>
      </c>
      <c r="E44" s="21" t="s">
        <v>118</v>
      </c>
      <c r="F44" s="21" t="s">
        <v>498</v>
      </c>
      <c r="G44" s="133" t="s">
        <v>620</v>
      </c>
      <c r="H44" s="21" t="s">
        <v>165</v>
      </c>
      <c r="I44" s="85"/>
      <c r="J44" s="165"/>
      <c r="K44" s="236"/>
      <c r="L44" s="201"/>
      <c r="M44" s="236"/>
      <c r="N44" s="442">
        <f t="shared" si="0"/>
        <v>0</v>
      </c>
      <c r="O44" s="440"/>
    </row>
    <row r="45" spans="1:15" ht="112.5" customHeight="1">
      <c r="A45" s="63" t="s">
        <v>1016</v>
      </c>
      <c r="B45" s="21" t="s">
        <v>153</v>
      </c>
      <c r="C45" s="21" t="s">
        <v>315</v>
      </c>
      <c r="D45" s="21">
        <v>11</v>
      </c>
      <c r="E45" s="21" t="s">
        <v>232</v>
      </c>
      <c r="F45" s="21" t="s">
        <v>69</v>
      </c>
      <c r="G45" s="133" t="s">
        <v>1018</v>
      </c>
      <c r="H45" s="21" t="s">
        <v>163</v>
      </c>
      <c r="I45" s="85"/>
      <c r="J45" s="165"/>
      <c r="K45" s="236">
        <v>2263638.71</v>
      </c>
      <c r="L45" s="201">
        <v>453263.93999999994</v>
      </c>
      <c r="M45" s="236">
        <v>1768804.76</v>
      </c>
      <c r="N45" s="442">
        <f t="shared" si="0"/>
        <v>1768804.76</v>
      </c>
      <c r="O45" s="256">
        <v>2263638.71</v>
      </c>
    </row>
    <row r="46" spans="1:15" ht="63">
      <c r="A46" s="63" t="s">
        <v>1015</v>
      </c>
      <c r="B46" s="21" t="s">
        <v>153</v>
      </c>
      <c r="C46" s="21" t="s">
        <v>315</v>
      </c>
      <c r="D46" s="21">
        <v>11</v>
      </c>
      <c r="E46" s="21" t="s">
        <v>232</v>
      </c>
      <c r="F46" s="21" t="s">
        <v>69</v>
      </c>
      <c r="G46" s="133" t="s">
        <v>1018</v>
      </c>
      <c r="H46" s="21" t="s">
        <v>164</v>
      </c>
      <c r="I46" s="85"/>
      <c r="J46" s="165"/>
      <c r="K46" s="236">
        <v>80080</v>
      </c>
      <c r="L46" s="201"/>
      <c r="M46" s="236">
        <v>80080</v>
      </c>
      <c r="N46" s="442">
        <f t="shared" si="0"/>
        <v>80080</v>
      </c>
      <c r="O46" s="440">
        <v>80080</v>
      </c>
    </row>
    <row r="47" spans="1:15" ht="47.25">
      <c r="A47" s="63" t="s">
        <v>1017</v>
      </c>
      <c r="B47" s="21" t="s">
        <v>153</v>
      </c>
      <c r="C47" s="21" t="s">
        <v>315</v>
      </c>
      <c r="D47" s="21">
        <v>11</v>
      </c>
      <c r="E47" s="21" t="s">
        <v>232</v>
      </c>
      <c r="F47" s="21" t="s">
        <v>69</v>
      </c>
      <c r="G47" s="133" t="s">
        <v>1018</v>
      </c>
      <c r="H47" s="21" t="s">
        <v>165</v>
      </c>
      <c r="I47" s="85"/>
      <c r="J47" s="165"/>
      <c r="K47" s="236"/>
      <c r="L47" s="201"/>
      <c r="M47" s="236"/>
      <c r="N47" s="442">
        <f t="shared" si="0"/>
        <v>0</v>
      </c>
      <c r="O47" s="440"/>
    </row>
    <row r="48" spans="1:15" ht="31.5">
      <c r="A48" s="235" t="s">
        <v>94</v>
      </c>
      <c r="B48" s="23" t="s">
        <v>153</v>
      </c>
      <c r="C48" s="23" t="s">
        <v>95</v>
      </c>
      <c r="D48" s="23"/>
      <c r="E48" s="23"/>
      <c r="F48" s="23"/>
      <c r="G48" s="23"/>
      <c r="H48" s="23"/>
      <c r="I48" s="24">
        <f aca="true" t="shared" si="1" ref="I48:M49">I49</f>
        <v>-30</v>
      </c>
      <c r="J48" s="277">
        <f t="shared" si="1"/>
        <v>0</v>
      </c>
      <c r="K48" s="24">
        <f t="shared" si="1"/>
        <v>350000</v>
      </c>
      <c r="L48" s="24">
        <f t="shared" si="1"/>
        <v>0</v>
      </c>
      <c r="M48" s="24">
        <f t="shared" si="1"/>
        <v>350000</v>
      </c>
      <c r="N48" s="442">
        <f t="shared" si="0"/>
        <v>350000</v>
      </c>
      <c r="O48" s="440">
        <v>350000</v>
      </c>
    </row>
    <row r="49" spans="1:15" ht="47.25">
      <c r="A49" s="235" t="s">
        <v>250</v>
      </c>
      <c r="B49" s="23" t="s">
        <v>153</v>
      </c>
      <c r="C49" s="23" t="s">
        <v>96</v>
      </c>
      <c r="D49" s="23"/>
      <c r="E49" s="23"/>
      <c r="F49" s="23"/>
      <c r="G49" s="23"/>
      <c r="H49" s="23"/>
      <c r="I49" s="24">
        <f t="shared" si="1"/>
        <v>-30</v>
      </c>
      <c r="J49" s="277">
        <f t="shared" si="1"/>
        <v>0</v>
      </c>
      <c r="K49" s="24">
        <f t="shared" si="1"/>
        <v>350000</v>
      </c>
      <c r="L49" s="24">
        <f t="shared" si="1"/>
        <v>0</v>
      </c>
      <c r="M49" s="24">
        <f t="shared" si="1"/>
        <v>350000</v>
      </c>
      <c r="N49" s="442">
        <f t="shared" si="0"/>
        <v>350000</v>
      </c>
      <c r="O49" s="440">
        <v>350000</v>
      </c>
    </row>
    <row r="50" spans="1:15" ht="63">
      <c r="A50" s="63" t="s">
        <v>597</v>
      </c>
      <c r="B50" s="22" t="s">
        <v>153</v>
      </c>
      <c r="C50" s="22" t="s">
        <v>96</v>
      </c>
      <c r="D50" s="22">
        <v>11</v>
      </c>
      <c r="E50" s="22" t="s">
        <v>68</v>
      </c>
      <c r="F50" s="22" t="s">
        <v>119</v>
      </c>
      <c r="G50" s="133" t="s">
        <v>502</v>
      </c>
      <c r="H50" s="22" t="s">
        <v>164</v>
      </c>
      <c r="I50" s="86">
        <v>-30</v>
      </c>
      <c r="J50" s="162"/>
      <c r="K50" s="32">
        <v>350000</v>
      </c>
      <c r="L50" s="201"/>
      <c r="M50" s="32">
        <v>350000</v>
      </c>
      <c r="N50" s="442">
        <f t="shared" si="0"/>
        <v>350000</v>
      </c>
      <c r="O50" s="440">
        <v>350000</v>
      </c>
    </row>
    <row r="51" spans="1:15" ht="15.75">
      <c r="A51" s="235" t="s">
        <v>97</v>
      </c>
      <c r="B51" s="23" t="s">
        <v>153</v>
      </c>
      <c r="C51" s="23" t="s">
        <v>98</v>
      </c>
      <c r="D51" s="23"/>
      <c r="E51" s="23"/>
      <c r="F51" s="23"/>
      <c r="G51" s="23"/>
      <c r="H51" s="23"/>
      <c r="I51" s="87" t="e">
        <f>I55+I69</f>
        <v>#REF!</v>
      </c>
      <c r="J51" s="435">
        <f>J52+J55+J69</f>
        <v>0</v>
      </c>
      <c r="K51" s="94">
        <f>K52+K55+K69</f>
        <v>55838218.64000001</v>
      </c>
      <c r="L51" s="94">
        <f>L52+L55+L69</f>
        <v>0</v>
      </c>
      <c r="M51" s="94">
        <f>M52+M55+M69</f>
        <v>10137301.8</v>
      </c>
      <c r="N51" s="442">
        <f t="shared" si="0"/>
        <v>10137301.8</v>
      </c>
      <c r="O51" s="440">
        <v>51932871.2</v>
      </c>
    </row>
    <row r="52" spans="1:15" ht="15.75">
      <c r="A52" s="235" t="s">
        <v>686</v>
      </c>
      <c r="B52" s="23" t="s">
        <v>153</v>
      </c>
      <c r="C52" s="23" t="s">
        <v>685</v>
      </c>
      <c r="D52" s="23"/>
      <c r="E52" s="23"/>
      <c r="F52" s="23"/>
      <c r="G52" s="23"/>
      <c r="H52" s="23"/>
      <c r="I52" s="87"/>
      <c r="J52" s="435">
        <f>SUM(J53:J54)</f>
        <v>0</v>
      </c>
      <c r="K52" s="94">
        <f>SUM(K53:K54)</f>
        <v>201431.02</v>
      </c>
      <c r="L52" s="94">
        <f>SUM(L53:L54)</f>
        <v>0</v>
      </c>
      <c r="M52" s="94">
        <f>SUM(M53:M54)</f>
        <v>219664</v>
      </c>
      <c r="N52" s="442">
        <f t="shared" si="0"/>
        <v>219664</v>
      </c>
      <c r="O52" s="440">
        <v>201431.02</v>
      </c>
    </row>
    <row r="53" spans="1:15" ht="96.75" customHeight="1">
      <c r="A53" s="63" t="s">
        <v>1545</v>
      </c>
      <c r="B53" s="22" t="s">
        <v>153</v>
      </c>
      <c r="C53" s="22" t="s">
        <v>685</v>
      </c>
      <c r="D53" s="22" t="s">
        <v>162</v>
      </c>
      <c r="E53" s="22" t="s">
        <v>118</v>
      </c>
      <c r="F53" s="22" t="s">
        <v>498</v>
      </c>
      <c r="G53" s="133" t="s">
        <v>687</v>
      </c>
      <c r="H53" s="22" t="s">
        <v>164</v>
      </c>
      <c r="I53" s="137"/>
      <c r="J53" s="482"/>
      <c r="K53" s="236">
        <v>61039.02</v>
      </c>
      <c r="L53" s="201"/>
      <c r="M53" s="236">
        <v>79272</v>
      </c>
      <c r="N53" s="442">
        <f t="shared" si="0"/>
        <v>79272</v>
      </c>
      <c r="O53" s="440">
        <v>61039.02</v>
      </c>
    </row>
    <row r="54" spans="1:15" ht="96.75" customHeight="1">
      <c r="A54" s="63" t="s">
        <v>610</v>
      </c>
      <c r="B54" s="21" t="s">
        <v>153</v>
      </c>
      <c r="C54" s="21" t="s">
        <v>685</v>
      </c>
      <c r="D54" s="21" t="s">
        <v>162</v>
      </c>
      <c r="E54" s="21" t="s">
        <v>118</v>
      </c>
      <c r="F54" s="21" t="s">
        <v>498</v>
      </c>
      <c r="G54" s="133" t="s">
        <v>746</v>
      </c>
      <c r="H54" s="21" t="s">
        <v>164</v>
      </c>
      <c r="I54" s="85"/>
      <c r="J54" s="165"/>
      <c r="K54" s="236">
        <v>140392</v>
      </c>
      <c r="L54" s="201"/>
      <c r="M54" s="236">
        <v>140392</v>
      </c>
      <c r="N54" s="442">
        <f t="shared" si="0"/>
        <v>140392</v>
      </c>
      <c r="O54" s="440">
        <v>140392</v>
      </c>
    </row>
    <row r="55" spans="1:15" ht="15.75">
      <c r="A55" s="235" t="s">
        <v>56</v>
      </c>
      <c r="B55" s="23" t="s">
        <v>153</v>
      </c>
      <c r="C55" s="23" t="s">
        <v>99</v>
      </c>
      <c r="D55" s="23"/>
      <c r="E55" s="23"/>
      <c r="F55" s="23"/>
      <c r="G55" s="23"/>
      <c r="H55" s="23"/>
      <c r="I55" s="70" t="e">
        <f>I56+#REF!+#REF!+#REF!</f>
        <v>#REF!</v>
      </c>
      <c r="J55" s="277">
        <f>SUM(J56:J68)</f>
        <v>0</v>
      </c>
      <c r="K55" s="24">
        <f>SUM(K56:K68)</f>
        <v>54833196.910000004</v>
      </c>
      <c r="L55" s="24">
        <f>SUM(L56:L68)</f>
        <v>0</v>
      </c>
      <c r="M55" s="24">
        <f>SUM(M56:M68)</f>
        <v>9159637.8</v>
      </c>
      <c r="N55" s="442">
        <f t="shared" si="0"/>
        <v>9159637.8</v>
      </c>
      <c r="O55" s="440">
        <v>50927849.47</v>
      </c>
    </row>
    <row r="56" spans="1:15" ht="63">
      <c r="A56" s="220" t="s">
        <v>905</v>
      </c>
      <c r="B56" s="22" t="s">
        <v>153</v>
      </c>
      <c r="C56" s="22" t="s">
        <v>99</v>
      </c>
      <c r="D56" s="22" t="s">
        <v>241</v>
      </c>
      <c r="E56" s="22" t="s">
        <v>68</v>
      </c>
      <c r="F56" s="22" t="s">
        <v>69</v>
      </c>
      <c r="G56" s="133" t="s">
        <v>503</v>
      </c>
      <c r="H56" s="22" t="s">
        <v>164</v>
      </c>
      <c r="I56" s="86">
        <v>-71.6</v>
      </c>
      <c r="J56" s="162"/>
      <c r="K56" s="236">
        <f>3105606.06-941354.1</f>
        <v>2164251.96</v>
      </c>
      <c r="L56" s="201"/>
      <c r="M56" s="236">
        <f>3105606.06-941354.1</f>
        <v>2164251.96</v>
      </c>
      <c r="N56" s="442">
        <f t="shared" si="0"/>
        <v>2164251.96</v>
      </c>
      <c r="O56" s="440">
        <v>2164251.96</v>
      </c>
    </row>
    <row r="57" spans="1:15" ht="51" customHeight="1">
      <c r="A57" s="220" t="s">
        <v>906</v>
      </c>
      <c r="B57" s="22" t="s">
        <v>153</v>
      </c>
      <c r="C57" s="22" t="s">
        <v>99</v>
      </c>
      <c r="D57" s="22" t="s">
        <v>241</v>
      </c>
      <c r="E57" s="22" t="s">
        <v>68</v>
      </c>
      <c r="F57" s="22" t="s">
        <v>69</v>
      </c>
      <c r="G57" s="133" t="s">
        <v>952</v>
      </c>
      <c r="H57" s="22" t="s">
        <v>164</v>
      </c>
      <c r="I57" s="86"/>
      <c r="J57" s="162"/>
      <c r="K57" s="236">
        <v>4286064.53</v>
      </c>
      <c r="L57" s="201"/>
      <c r="M57" s="236">
        <v>4494799.24</v>
      </c>
      <c r="N57" s="442">
        <f t="shared" si="0"/>
        <v>4494799.24</v>
      </c>
      <c r="O57" s="440">
        <v>4494799.24</v>
      </c>
    </row>
    <row r="58" spans="1:15" ht="48.75" customHeight="1">
      <c r="A58" s="220" t="s">
        <v>1244</v>
      </c>
      <c r="B58" s="22" t="s">
        <v>153</v>
      </c>
      <c r="C58" s="22" t="s">
        <v>99</v>
      </c>
      <c r="D58" s="22" t="s">
        <v>241</v>
      </c>
      <c r="E58" s="22" t="s">
        <v>68</v>
      </c>
      <c r="F58" s="22" t="s">
        <v>69</v>
      </c>
      <c r="G58" s="133" t="s">
        <v>952</v>
      </c>
      <c r="H58" s="22" t="s">
        <v>974</v>
      </c>
      <c r="I58" s="86"/>
      <c r="J58" s="162"/>
      <c r="K58" s="236">
        <v>0</v>
      </c>
      <c r="L58" s="201"/>
      <c r="M58" s="236">
        <v>349232.5</v>
      </c>
      <c r="N58" s="442">
        <f t="shared" si="0"/>
        <v>349232.5</v>
      </c>
      <c r="O58" s="440">
        <v>349232.5</v>
      </c>
    </row>
    <row r="59" spans="1:15" ht="47.25">
      <c r="A59" s="220" t="s">
        <v>922</v>
      </c>
      <c r="B59" s="22" t="s">
        <v>153</v>
      </c>
      <c r="C59" s="22" t="s">
        <v>99</v>
      </c>
      <c r="D59" s="22" t="s">
        <v>241</v>
      </c>
      <c r="E59" s="22" t="s">
        <v>68</v>
      </c>
      <c r="F59" s="22" t="s">
        <v>69</v>
      </c>
      <c r="G59" s="133" t="s">
        <v>953</v>
      </c>
      <c r="H59" s="22" t="s">
        <v>164</v>
      </c>
      <c r="I59" s="86"/>
      <c r="J59" s="162"/>
      <c r="K59" s="236">
        <v>0</v>
      </c>
      <c r="L59" s="201"/>
      <c r="M59" s="236">
        <v>0</v>
      </c>
      <c r="N59" s="442">
        <f t="shared" si="0"/>
        <v>0</v>
      </c>
      <c r="O59" s="440">
        <v>0</v>
      </c>
    </row>
    <row r="60" spans="1:15" ht="50.25" customHeight="1">
      <c r="A60" s="220" t="s">
        <v>989</v>
      </c>
      <c r="B60" s="22" t="s">
        <v>153</v>
      </c>
      <c r="C60" s="22" t="s">
        <v>99</v>
      </c>
      <c r="D60" s="22" t="s">
        <v>241</v>
      </c>
      <c r="E60" s="22" t="s">
        <v>68</v>
      </c>
      <c r="F60" s="22" t="s">
        <v>69</v>
      </c>
      <c r="G60" s="133" t="s">
        <v>954</v>
      </c>
      <c r="H60" s="22" t="s">
        <v>164</v>
      </c>
      <c r="I60" s="86"/>
      <c r="J60" s="162"/>
      <c r="K60" s="236">
        <v>140000</v>
      </c>
      <c r="L60" s="201"/>
      <c r="M60" s="236">
        <v>140000</v>
      </c>
      <c r="N60" s="442">
        <f t="shared" si="0"/>
        <v>140000</v>
      </c>
      <c r="O60" s="440">
        <v>140000</v>
      </c>
    </row>
    <row r="61" spans="1:15" ht="100.5" customHeight="1">
      <c r="A61" s="220" t="s">
        <v>1225</v>
      </c>
      <c r="B61" s="22" t="s">
        <v>153</v>
      </c>
      <c r="C61" s="22" t="s">
        <v>99</v>
      </c>
      <c r="D61" s="22" t="s">
        <v>241</v>
      </c>
      <c r="E61" s="22" t="s">
        <v>68</v>
      </c>
      <c r="F61" s="22" t="s">
        <v>69</v>
      </c>
      <c r="G61" s="133" t="s">
        <v>1226</v>
      </c>
      <c r="H61" s="22" t="s">
        <v>164</v>
      </c>
      <c r="I61" s="86"/>
      <c r="J61" s="165"/>
      <c r="K61" s="236"/>
      <c r="L61" s="201"/>
      <c r="M61" s="236"/>
      <c r="N61" s="442">
        <f t="shared" si="0"/>
        <v>0</v>
      </c>
      <c r="O61" s="440"/>
    </row>
    <row r="62" spans="1:15" ht="255.75" customHeight="1">
      <c r="A62" s="249" t="s">
        <v>753</v>
      </c>
      <c r="B62" s="133" t="s">
        <v>153</v>
      </c>
      <c r="C62" s="133" t="s">
        <v>99</v>
      </c>
      <c r="D62" s="133" t="s">
        <v>241</v>
      </c>
      <c r="E62" s="133" t="s">
        <v>68</v>
      </c>
      <c r="F62" s="133" t="s">
        <v>69</v>
      </c>
      <c r="G62" s="133" t="s">
        <v>752</v>
      </c>
      <c r="H62" s="133" t="s">
        <v>53</v>
      </c>
      <c r="I62" s="164"/>
      <c r="J62" s="246"/>
      <c r="K62" s="236">
        <v>1965201.04</v>
      </c>
      <c r="L62" s="206"/>
      <c r="M62" s="236">
        <f>1000000+941354.1</f>
        <v>1941354.1</v>
      </c>
      <c r="N62" s="442">
        <f t="shared" si="0"/>
        <v>1941354.1</v>
      </c>
      <c r="O62" s="440">
        <v>1941354.1</v>
      </c>
    </row>
    <row r="63" spans="1:15" ht="48.75" customHeight="1">
      <c r="A63" s="220" t="s">
        <v>907</v>
      </c>
      <c r="B63" s="22" t="s">
        <v>153</v>
      </c>
      <c r="C63" s="22" t="s">
        <v>99</v>
      </c>
      <c r="D63" s="22" t="s">
        <v>241</v>
      </c>
      <c r="E63" s="22" t="s">
        <v>60</v>
      </c>
      <c r="F63" s="22" t="s">
        <v>69</v>
      </c>
      <c r="G63" s="133" t="s">
        <v>633</v>
      </c>
      <c r="H63" s="22" t="s">
        <v>164</v>
      </c>
      <c r="I63" s="86"/>
      <c r="J63" s="162"/>
      <c r="K63" s="236">
        <v>58151.29</v>
      </c>
      <c r="L63" s="201"/>
      <c r="M63" s="236">
        <v>50000</v>
      </c>
      <c r="N63" s="442">
        <f t="shared" si="0"/>
        <v>50000</v>
      </c>
      <c r="O63" s="440">
        <v>58151.29</v>
      </c>
    </row>
    <row r="64" spans="1:15" ht="84.75" customHeight="1">
      <c r="A64" s="220" t="s">
        <v>1134</v>
      </c>
      <c r="B64" s="22" t="s">
        <v>153</v>
      </c>
      <c r="C64" s="22" t="s">
        <v>99</v>
      </c>
      <c r="D64" s="22" t="s">
        <v>241</v>
      </c>
      <c r="E64" s="22" t="s">
        <v>232</v>
      </c>
      <c r="F64" s="22" t="s">
        <v>69</v>
      </c>
      <c r="G64" s="133" t="s">
        <v>1136</v>
      </c>
      <c r="H64" s="22" t="s">
        <v>164</v>
      </c>
      <c r="I64" s="86"/>
      <c r="J64" s="162"/>
      <c r="K64" s="236">
        <v>0</v>
      </c>
      <c r="L64" s="201"/>
      <c r="M64" s="236">
        <v>0</v>
      </c>
      <c r="N64" s="442">
        <f t="shared" si="0"/>
        <v>0</v>
      </c>
      <c r="O64" s="440">
        <v>0</v>
      </c>
    </row>
    <row r="65" spans="1:15" ht="114.75" customHeight="1">
      <c r="A65" s="220" t="s">
        <v>1135</v>
      </c>
      <c r="B65" s="22" t="s">
        <v>153</v>
      </c>
      <c r="C65" s="22" t="s">
        <v>99</v>
      </c>
      <c r="D65" s="22" t="s">
        <v>241</v>
      </c>
      <c r="E65" s="22" t="s">
        <v>232</v>
      </c>
      <c r="F65" s="22" t="s">
        <v>69</v>
      </c>
      <c r="G65" s="133" t="s">
        <v>1137</v>
      </c>
      <c r="H65" s="22" t="s">
        <v>164</v>
      </c>
      <c r="I65" s="86"/>
      <c r="J65" s="162"/>
      <c r="K65" s="236">
        <v>11848.71</v>
      </c>
      <c r="L65" s="201"/>
      <c r="M65" s="236">
        <v>20000</v>
      </c>
      <c r="N65" s="442">
        <f t="shared" si="0"/>
        <v>20000</v>
      </c>
      <c r="O65" s="440">
        <v>11848.71</v>
      </c>
    </row>
    <row r="66" spans="1:15" ht="47.25" customHeight="1">
      <c r="A66" s="223" t="s">
        <v>1464</v>
      </c>
      <c r="B66" s="22" t="s">
        <v>153</v>
      </c>
      <c r="C66" s="22" t="s">
        <v>99</v>
      </c>
      <c r="D66" s="22" t="s">
        <v>58</v>
      </c>
      <c r="E66" s="22" t="s">
        <v>68</v>
      </c>
      <c r="F66" s="22" t="s">
        <v>57</v>
      </c>
      <c r="G66" s="133" t="s">
        <v>1469</v>
      </c>
      <c r="H66" s="22" t="s">
        <v>974</v>
      </c>
      <c r="I66" s="86"/>
      <c r="J66" s="162"/>
      <c r="K66" s="236">
        <v>33868930</v>
      </c>
      <c r="L66" s="201"/>
      <c r="M66" s="236"/>
      <c r="N66" s="442"/>
      <c r="O66" s="440">
        <v>33868930</v>
      </c>
    </row>
    <row r="67" spans="1:15" ht="65.25" customHeight="1">
      <c r="A67" s="221" t="s">
        <v>1586</v>
      </c>
      <c r="B67" s="22" t="s">
        <v>153</v>
      </c>
      <c r="C67" s="22" t="s">
        <v>99</v>
      </c>
      <c r="D67" s="22" t="s">
        <v>241</v>
      </c>
      <c r="E67" s="22" t="s">
        <v>68</v>
      </c>
      <c r="F67" s="22" t="s">
        <v>69</v>
      </c>
      <c r="G67" s="133" t="s">
        <v>1577</v>
      </c>
      <c r="H67" s="22" t="s">
        <v>164</v>
      </c>
      <c r="I67" s="86"/>
      <c r="J67" s="162"/>
      <c r="K67" s="236">
        <v>3258250.03</v>
      </c>
      <c r="L67" s="201"/>
      <c r="M67" s="236"/>
      <c r="N67" s="442"/>
      <c r="O67" s="440"/>
    </row>
    <row r="68" spans="1:15" ht="116.25" customHeight="1">
      <c r="A68" s="220" t="s">
        <v>1563</v>
      </c>
      <c r="B68" s="22" t="s">
        <v>153</v>
      </c>
      <c r="C68" s="22" t="s">
        <v>99</v>
      </c>
      <c r="D68" s="22" t="s">
        <v>241</v>
      </c>
      <c r="E68" s="22" t="s">
        <v>68</v>
      </c>
      <c r="F68" s="22" t="s">
        <v>69</v>
      </c>
      <c r="G68" s="133" t="s">
        <v>1021</v>
      </c>
      <c r="H68" s="22" t="s">
        <v>164</v>
      </c>
      <c r="I68" s="86"/>
      <c r="J68" s="92"/>
      <c r="K68" s="92">
        <v>9080499.35</v>
      </c>
      <c r="L68" s="201"/>
      <c r="M68" s="236"/>
      <c r="N68" s="442">
        <f t="shared" si="0"/>
        <v>0</v>
      </c>
      <c r="O68" s="220">
        <v>7899281.67</v>
      </c>
    </row>
    <row r="69" spans="1:15" ht="15.75">
      <c r="A69" s="235" t="s">
        <v>100</v>
      </c>
      <c r="B69" s="23" t="s">
        <v>153</v>
      </c>
      <c r="C69" s="23" t="s">
        <v>101</v>
      </c>
      <c r="D69" s="23"/>
      <c r="E69" s="23"/>
      <c r="F69" s="23"/>
      <c r="G69" s="23"/>
      <c r="H69" s="23"/>
      <c r="I69" s="70">
        <f>SUM(I70:I73)</f>
        <v>-456</v>
      </c>
      <c r="J69" s="277">
        <f>SUM(J70:J75)</f>
        <v>0</v>
      </c>
      <c r="K69" s="24">
        <f>SUM(K70:K77)</f>
        <v>803590.71</v>
      </c>
      <c r="L69" s="24">
        <f>SUM(L70:L77)</f>
        <v>0</v>
      </c>
      <c r="M69" s="24">
        <f>SUM(M70:M77)</f>
        <v>758000</v>
      </c>
      <c r="N69" s="442">
        <f t="shared" si="0"/>
        <v>758000</v>
      </c>
      <c r="O69" s="440">
        <v>803590.71</v>
      </c>
    </row>
    <row r="70" spans="1:15" ht="97.5" customHeight="1">
      <c r="A70" s="69" t="s">
        <v>589</v>
      </c>
      <c r="B70" s="22" t="s">
        <v>153</v>
      </c>
      <c r="C70" s="22" t="s">
        <v>101</v>
      </c>
      <c r="D70" s="22" t="s">
        <v>69</v>
      </c>
      <c r="E70" s="22" t="s">
        <v>60</v>
      </c>
      <c r="F70" s="22" t="s">
        <v>69</v>
      </c>
      <c r="G70" s="133" t="s">
        <v>504</v>
      </c>
      <c r="H70" s="22" t="s">
        <v>164</v>
      </c>
      <c r="I70" s="86">
        <v>-456</v>
      </c>
      <c r="J70" s="162"/>
      <c r="K70" s="236">
        <v>345590.71</v>
      </c>
      <c r="L70" s="201"/>
      <c r="M70" s="236">
        <v>300000</v>
      </c>
      <c r="N70" s="442">
        <f>M70+J70</f>
        <v>300000</v>
      </c>
      <c r="O70" s="440">
        <v>345590.71</v>
      </c>
    </row>
    <row r="71" spans="1:15" ht="52.5" customHeight="1">
      <c r="A71" s="63" t="s">
        <v>612</v>
      </c>
      <c r="B71" s="21" t="s">
        <v>153</v>
      </c>
      <c r="C71" s="21" t="s">
        <v>101</v>
      </c>
      <c r="D71" s="21" t="s">
        <v>57</v>
      </c>
      <c r="E71" s="21" t="s">
        <v>68</v>
      </c>
      <c r="F71" s="21" t="s">
        <v>69</v>
      </c>
      <c r="G71" s="133" t="s">
        <v>505</v>
      </c>
      <c r="H71" s="21" t="s">
        <v>164</v>
      </c>
      <c r="I71" s="85"/>
      <c r="J71" s="165"/>
      <c r="K71" s="236">
        <v>10000</v>
      </c>
      <c r="L71" s="201"/>
      <c r="M71" s="236">
        <v>10000</v>
      </c>
      <c r="N71" s="442">
        <f aca="true" t="shared" si="2" ref="N71:N141">M71+J71</f>
        <v>10000</v>
      </c>
      <c r="O71" s="440">
        <v>10000</v>
      </c>
    </row>
    <row r="72" spans="1:15" ht="51.75" customHeight="1">
      <c r="A72" s="63" t="s">
        <v>1391</v>
      </c>
      <c r="B72" s="22" t="s">
        <v>153</v>
      </c>
      <c r="C72" s="22" t="s">
        <v>101</v>
      </c>
      <c r="D72" s="22" t="s">
        <v>57</v>
      </c>
      <c r="E72" s="22" t="s">
        <v>68</v>
      </c>
      <c r="F72" s="22" t="s">
        <v>69</v>
      </c>
      <c r="G72" s="133" t="s">
        <v>506</v>
      </c>
      <c r="H72" s="22" t="s">
        <v>164</v>
      </c>
      <c r="I72" s="86"/>
      <c r="J72" s="162"/>
      <c r="K72" s="236">
        <v>19000</v>
      </c>
      <c r="L72" s="201"/>
      <c r="M72" s="236">
        <v>20000</v>
      </c>
      <c r="N72" s="442">
        <f t="shared" si="2"/>
        <v>20000</v>
      </c>
      <c r="O72" s="440">
        <v>20000</v>
      </c>
    </row>
    <row r="73" spans="1:15" ht="63">
      <c r="A73" s="63" t="s">
        <v>600</v>
      </c>
      <c r="B73" s="22" t="s">
        <v>153</v>
      </c>
      <c r="C73" s="22" t="s">
        <v>101</v>
      </c>
      <c r="D73" s="22" t="s">
        <v>57</v>
      </c>
      <c r="E73" s="22" t="s">
        <v>68</v>
      </c>
      <c r="F73" s="22" t="s">
        <v>69</v>
      </c>
      <c r="G73" s="133" t="s">
        <v>507</v>
      </c>
      <c r="H73" s="22" t="s">
        <v>164</v>
      </c>
      <c r="I73" s="86"/>
      <c r="J73" s="162"/>
      <c r="K73" s="236"/>
      <c r="L73" s="201"/>
      <c r="M73" s="236"/>
      <c r="N73" s="442">
        <f t="shared" si="2"/>
        <v>0</v>
      </c>
      <c r="O73" s="440"/>
    </row>
    <row r="74" spans="1:15" ht="47.25">
      <c r="A74" s="63" t="s">
        <v>627</v>
      </c>
      <c r="B74" s="22" t="s">
        <v>153</v>
      </c>
      <c r="C74" s="22" t="s">
        <v>101</v>
      </c>
      <c r="D74" s="22" t="s">
        <v>57</v>
      </c>
      <c r="E74" s="22" t="s">
        <v>68</v>
      </c>
      <c r="F74" s="22" t="s">
        <v>119</v>
      </c>
      <c r="G74" s="133" t="s">
        <v>626</v>
      </c>
      <c r="H74" s="22" t="s">
        <v>165</v>
      </c>
      <c r="I74" s="86"/>
      <c r="J74" s="162"/>
      <c r="K74" s="236">
        <v>258000</v>
      </c>
      <c r="L74" s="201"/>
      <c r="M74" s="236">
        <v>258000</v>
      </c>
      <c r="N74" s="442">
        <f t="shared" si="2"/>
        <v>258000</v>
      </c>
      <c r="O74" s="440">
        <v>258000</v>
      </c>
    </row>
    <row r="75" spans="1:15" ht="147" customHeight="1">
      <c r="A75" s="63" t="s">
        <v>1392</v>
      </c>
      <c r="B75" s="22" t="s">
        <v>153</v>
      </c>
      <c r="C75" s="22" t="s">
        <v>101</v>
      </c>
      <c r="D75" s="22" t="s">
        <v>57</v>
      </c>
      <c r="E75" s="22" t="s">
        <v>68</v>
      </c>
      <c r="F75" s="22" t="s">
        <v>119</v>
      </c>
      <c r="G75" s="133" t="s">
        <v>955</v>
      </c>
      <c r="H75" s="22" t="s">
        <v>165</v>
      </c>
      <c r="I75" s="86"/>
      <c r="J75" s="162"/>
      <c r="K75" s="236">
        <v>171000</v>
      </c>
      <c r="L75" s="201"/>
      <c r="M75" s="236">
        <v>170000</v>
      </c>
      <c r="N75" s="442">
        <f t="shared" si="2"/>
        <v>170000</v>
      </c>
      <c r="O75" s="440">
        <v>170000</v>
      </c>
    </row>
    <row r="76" spans="1:15" ht="80.25" customHeight="1">
      <c r="A76" s="63" t="s">
        <v>1250</v>
      </c>
      <c r="B76" s="22" t="s">
        <v>153</v>
      </c>
      <c r="C76" s="22" t="s">
        <v>101</v>
      </c>
      <c r="D76" s="22" t="s">
        <v>57</v>
      </c>
      <c r="E76" s="22" t="s">
        <v>60</v>
      </c>
      <c r="F76" s="22" t="s">
        <v>69</v>
      </c>
      <c r="G76" s="133" t="s">
        <v>1246</v>
      </c>
      <c r="H76" s="22" t="s">
        <v>164</v>
      </c>
      <c r="I76" s="86"/>
      <c r="J76" s="162"/>
      <c r="K76" s="236">
        <v>0</v>
      </c>
      <c r="L76" s="201"/>
      <c r="M76" s="236">
        <v>0</v>
      </c>
      <c r="N76" s="442">
        <f t="shared" si="2"/>
        <v>0</v>
      </c>
      <c r="O76" s="440">
        <v>0</v>
      </c>
    </row>
    <row r="77" spans="1:15" ht="97.5" customHeight="1">
      <c r="A77" s="63" t="s">
        <v>1251</v>
      </c>
      <c r="B77" s="22" t="s">
        <v>153</v>
      </c>
      <c r="C77" s="22" t="s">
        <v>101</v>
      </c>
      <c r="D77" s="22" t="s">
        <v>57</v>
      </c>
      <c r="E77" s="22" t="s">
        <v>60</v>
      </c>
      <c r="F77" s="22" t="s">
        <v>69</v>
      </c>
      <c r="G77" s="133" t="s">
        <v>1247</v>
      </c>
      <c r="H77" s="22" t="s">
        <v>164</v>
      </c>
      <c r="I77" s="86"/>
      <c r="J77" s="162"/>
      <c r="K77" s="236">
        <v>0</v>
      </c>
      <c r="L77" s="201"/>
      <c r="M77" s="236">
        <v>0</v>
      </c>
      <c r="N77" s="442">
        <f t="shared" si="2"/>
        <v>0</v>
      </c>
      <c r="O77" s="440">
        <v>0</v>
      </c>
    </row>
    <row r="78" spans="1:15" ht="15.75">
      <c r="A78" s="235" t="s">
        <v>37</v>
      </c>
      <c r="B78" s="23" t="s">
        <v>153</v>
      </c>
      <c r="C78" s="23" t="s">
        <v>38</v>
      </c>
      <c r="D78" s="23"/>
      <c r="E78" s="23"/>
      <c r="F78" s="23"/>
      <c r="G78" s="23"/>
      <c r="H78" s="23"/>
      <c r="I78" s="24" t="e">
        <f>I79+I85</f>
        <v>#REF!</v>
      </c>
      <c r="J78" s="277">
        <f>J79+J85+J91</f>
        <v>0</v>
      </c>
      <c r="K78" s="24">
        <f>K79+K85+K91</f>
        <v>40060109.84</v>
      </c>
      <c r="L78" s="24">
        <f>L79+L85+L91</f>
        <v>0</v>
      </c>
      <c r="M78" s="24">
        <f>M79+M85+M91</f>
        <v>13509993.58</v>
      </c>
      <c r="N78" s="442">
        <f t="shared" si="2"/>
        <v>13509993.58</v>
      </c>
      <c r="O78" s="440">
        <v>31134650.51</v>
      </c>
    </row>
    <row r="79" spans="1:15" ht="15.75">
      <c r="A79" s="237" t="s">
        <v>133</v>
      </c>
      <c r="B79" s="30">
        <v>900</v>
      </c>
      <c r="C79" s="31" t="s">
        <v>134</v>
      </c>
      <c r="D79" s="31"/>
      <c r="E79" s="31"/>
      <c r="F79" s="31"/>
      <c r="G79" s="31"/>
      <c r="H79" s="31"/>
      <c r="I79" s="88" t="e">
        <f>#REF!+#REF!</f>
        <v>#REF!</v>
      </c>
      <c r="J79" s="451">
        <f>SUM(J80:J84)</f>
        <v>0</v>
      </c>
      <c r="K79" s="95">
        <f>SUM(K80:K84)</f>
        <v>3375354.95</v>
      </c>
      <c r="L79" s="95">
        <f>SUM(L80:L84)</f>
        <v>0</v>
      </c>
      <c r="M79" s="95">
        <f>SUM(M80:M84)</f>
        <v>2978103.62</v>
      </c>
      <c r="N79" s="442">
        <f t="shared" si="2"/>
        <v>2978103.62</v>
      </c>
      <c r="O79" s="440">
        <v>3375354.95</v>
      </c>
    </row>
    <row r="80" spans="1:15" ht="47.25">
      <c r="A80" s="63" t="s">
        <v>645</v>
      </c>
      <c r="B80" s="65">
        <v>900</v>
      </c>
      <c r="C80" s="66" t="s">
        <v>134</v>
      </c>
      <c r="D80" s="66" t="s">
        <v>61</v>
      </c>
      <c r="E80" s="66" t="s">
        <v>143</v>
      </c>
      <c r="F80" s="66" t="s">
        <v>69</v>
      </c>
      <c r="G80" s="248" t="s">
        <v>680</v>
      </c>
      <c r="H80" s="66" t="s">
        <v>164</v>
      </c>
      <c r="I80" s="89"/>
      <c r="J80" s="165"/>
      <c r="K80" s="236">
        <v>1632824.9300000002</v>
      </c>
      <c r="L80" s="201"/>
      <c r="M80" s="236">
        <v>1235573.6</v>
      </c>
      <c r="N80" s="442">
        <f t="shared" si="2"/>
        <v>1235573.6</v>
      </c>
      <c r="O80" s="440">
        <v>1632824.9300000002</v>
      </c>
    </row>
    <row r="81" spans="1:15" ht="63">
      <c r="A81" s="63" t="s">
        <v>1057</v>
      </c>
      <c r="B81" s="65">
        <v>900</v>
      </c>
      <c r="C81" s="66" t="s">
        <v>134</v>
      </c>
      <c r="D81" s="66" t="s">
        <v>61</v>
      </c>
      <c r="E81" s="66" t="s">
        <v>143</v>
      </c>
      <c r="F81" s="66" t="s">
        <v>69</v>
      </c>
      <c r="G81" s="248" t="s">
        <v>1056</v>
      </c>
      <c r="H81" s="66" t="s">
        <v>164</v>
      </c>
      <c r="I81" s="89"/>
      <c r="J81" s="165"/>
      <c r="K81" s="236">
        <v>1546853.1</v>
      </c>
      <c r="L81" s="201"/>
      <c r="M81" s="236">
        <v>1546853.1</v>
      </c>
      <c r="N81" s="442">
        <f t="shared" si="2"/>
        <v>1546853.1</v>
      </c>
      <c r="O81" s="440">
        <v>1546853.1</v>
      </c>
    </row>
    <row r="82" spans="1:15" ht="63">
      <c r="A82" s="158" t="s">
        <v>969</v>
      </c>
      <c r="B82" s="65">
        <v>900</v>
      </c>
      <c r="C82" s="66" t="s">
        <v>134</v>
      </c>
      <c r="D82" s="66" t="s">
        <v>61</v>
      </c>
      <c r="E82" s="66" t="s">
        <v>971</v>
      </c>
      <c r="F82" s="66" t="s">
        <v>69</v>
      </c>
      <c r="G82" s="248" t="s">
        <v>972</v>
      </c>
      <c r="H82" s="66" t="s">
        <v>164</v>
      </c>
      <c r="I82" s="89"/>
      <c r="J82" s="165"/>
      <c r="K82" s="236"/>
      <c r="L82" s="201"/>
      <c r="M82" s="236"/>
      <c r="N82" s="442">
        <f t="shared" si="2"/>
        <v>0</v>
      </c>
      <c r="O82" s="440"/>
    </row>
    <row r="83" spans="1:15" ht="78.75">
      <c r="A83" s="158" t="s">
        <v>1062</v>
      </c>
      <c r="B83" s="65">
        <v>900</v>
      </c>
      <c r="C83" s="66" t="s">
        <v>134</v>
      </c>
      <c r="D83" s="66" t="s">
        <v>61</v>
      </c>
      <c r="E83" s="66" t="s">
        <v>143</v>
      </c>
      <c r="F83" s="66" t="s">
        <v>69</v>
      </c>
      <c r="G83" s="248" t="s">
        <v>1132</v>
      </c>
      <c r="H83" s="66" t="s">
        <v>165</v>
      </c>
      <c r="I83" s="89"/>
      <c r="J83" s="165"/>
      <c r="K83" s="236">
        <v>195676.92</v>
      </c>
      <c r="L83" s="201"/>
      <c r="M83" s="236">
        <v>195676.92</v>
      </c>
      <c r="N83" s="442">
        <f t="shared" si="2"/>
        <v>195676.92</v>
      </c>
      <c r="O83" s="440">
        <v>195676.92</v>
      </c>
    </row>
    <row r="84" spans="1:15" ht="51" customHeight="1">
      <c r="A84" s="158" t="s">
        <v>1010</v>
      </c>
      <c r="B84" s="65">
        <v>900</v>
      </c>
      <c r="C84" s="66" t="s">
        <v>134</v>
      </c>
      <c r="D84" s="66" t="s">
        <v>61</v>
      </c>
      <c r="E84" s="66" t="s">
        <v>971</v>
      </c>
      <c r="F84" s="66" t="s">
        <v>69</v>
      </c>
      <c r="G84" s="248" t="s">
        <v>1011</v>
      </c>
      <c r="H84" s="66" t="s">
        <v>164</v>
      </c>
      <c r="I84" s="89"/>
      <c r="J84" s="165"/>
      <c r="K84" s="236"/>
      <c r="L84" s="201"/>
      <c r="M84" s="236"/>
      <c r="N84" s="442">
        <f t="shared" si="2"/>
        <v>0</v>
      </c>
      <c r="O84" s="440"/>
    </row>
    <row r="85" spans="1:15" ht="15.75">
      <c r="A85" s="235" t="s">
        <v>135</v>
      </c>
      <c r="B85" s="23" t="s">
        <v>153</v>
      </c>
      <c r="C85" s="23" t="s">
        <v>136</v>
      </c>
      <c r="D85" s="23"/>
      <c r="E85" s="23"/>
      <c r="F85" s="23"/>
      <c r="G85" s="23"/>
      <c r="H85" s="23"/>
      <c r="I85" s="24" t="e">
        <f>I86+#REF!+#REF!+#REF!+#REF!+#REF!</f>
        <v>#REF!</v>
      </c>
      <c r="J85" s="277">
        <f>SUM(J86:J90)</f>
        <v>0</v>
      </c>
      <c r="K85" s="24">
        <f>SUM(K86:K90)</f>
        <v>17836610.41</v>
      </c>
      <c r="L85" s="24">
        <f>SUM(L86:L90)</f>
        <v>0</v>
      </c>
      <c r="M85" s="24">
        <f>SUM(M86:M90)</f>
        <v>2076874.96</v>
      </c>
      <c r="N85" s="442">
        <f t="shared" si="2"/>
        <v>2076874.96</v>
      </c>
      <c r="O85" s="440">
        <v>11147990.33</v>
      </c>
    </row>
    <row r="86" spans="1:15" ht="51" customHeight="1">
      <c r="A86" s="64" t="s">
        <v>601</v>
      </c>
      <c r="B86" s="22" t="s">
        <v>153</v>
      </c>
      <c r="C86" s="22" t="s">
        <v>136</v>
      </c>
      <c r="D86" s="22" t="s">
        <v>61</v>
      </c>
      <c r="E86" s="22" t="s">
        <v>68</v>
      </c>
      <c r="F86" s="22" t="s">
        <v>69</v>
      </c>
      <c r="G86" s="133" t="s">
        <v>508</v>
      </c>
      <c r="H86" s="22" t="s">
        <v>164</v>
      </c>
      <c r="I86" s="86">
        <v>-220</v>
      </c>
      <c r="J86" s="162"/>
      <c r="K86" s="97">
        <v>1959694.96</v>
      </c>
      <c r="L86" s="201"/>
      <c r="M86" s="97">
        <v>1959694.96</v>
      </c>
      <c r="N86" s="442">
        <f t="shared" si="2"/>
        <v>1959694.96</v>
      </c>
      <c r="O86" s="440">
        <v>1959694.96</v>
      </c>
    </row>
    <row r="87" spans="1:15" ht="65.25" customHeight="1">
      <c r="A87" s="221" t="s">
        <v>1539</v>
      </c>
      <c r="B87" s="22" t="s">
        <v>153</v>
      </c>
      <c r="C87" s="22" t="s">
        <v>136</v>
      </c>
      <c r="D87" s="22" t="s">
        <v>58</v>
      </c>
      <c r="E87" s="22" t="s">
        <v>68</v>
      </c>
      <c r="F87" s="22" t="s">
        <v>69</v>
      </c>
      <c r="G87" s="133" t="s">
        <v>1548</v>
      </c>
      <c r="H87" s="22" t="s">
        <v>974</v>
      </c>
      <c r="I87" s="86"/>
      <c r="J87" s="135"/>
      <c r="K87" s="135">
        <v>3569380.02</v>
      </c>
      <c r="L87" s="201"/>
      <c r="M87" s="97"/>
      <c r="N87" s="442"/>
      <c r="O87" s="440">
        <v>3569380.02</v>
      </c>
    </row>
    <row r="88" spans="1:15" ht="81.75" customHeight="1">
      <c r="A88" s="221" t="s">
        <v>1585</v>
      </c>
      <c r="B88" s="22" t="s">
        <v>153</v>
      </c>
      <c r="C88" s="22" t="s">
        <v>136</v>
      </c>
      <c r="D88" s="22" t="s">
        <v>61</v>
      </c>
      <c r="E88" s="22" t="s">
        <v>68</v>
      </c>
      <c r="F88" s="22" t="s">
        <v>69</v>
      </c>
      <c r="G88" s="133" t="s">
        <v>1549</v>
      </c>
      <c r="H88" s="22" t="s">
        <v>974</v>
      </c>
      <c r="I88" s="86"/>
      <c r="J88" s="135"/>
      <c r="K88" s="135">
        <v>11134178.2</v>
      </c>
      <c r="L88" s="201"/>
      <c r="M88" s="97"/>
      <c r="N88" s="442"/>
      <c r="O88" s="440">
        <v>5501735.35</v>
      </c>
    </row>
    <row r="89" spans="1:15" ht="81.75" customHeight="1">
      <c r="A89" s="124" t="s">
        <v>1028</v>
      </c>
      <c r="B89" s="22" t="s">
        <v>153</v>
      </c>
      <c r="C89" s="22" t="s">
        <v>136</v>
      </c>
      <c r="D89" s="22" t="s">
        <v>58</v>
      </c>
      <c r="E89" s="22" t="s">
        <v>68</v>
      </c>
      <c r="F89" s="22" t="s">
        <v>241</v>
      </c>
      <c r="G89" s="133" t="s">
        <v>1565</v>
      </c>
      <c r="H89" s="22" t="s">
        <v>974</v>
      </c>
      <c r="I89" s="125"/>
      <c r="J89" s="437"/>
      <c r="K89" s="236">
        <v>1173357.23</v>
      </c>
      <c r="L89" s="201"/>
      <c r="M89" s="97"/>
      <c r="N89" s="442"/>
      <c r="O89" s="440"/>
    </row>
    <row r="90" spans="1:15" ht="49.5" customHeight="1">
      <c r="A90" s="64" t="s">
        <v>609</v>
      </c>
      <c r="B90" s="22" t="s">
        <v>153</v>
      </c>
      <c r="C90" s="22" t="s">
        <v>136</v>
      </c>
      <c r="D90" s="22" t="s">
        <v>162</v>
      </c>
      <c r="E90" s="22" t="s">
        <v>118</v>
      </c>
      <c r="F90" s="22" t="s">
        <v>498</v>
      </c>
      <c r="G90" s="133" t="s">
        <v>509</v>
      </c>
      <c r="H90" s="22" t="s">
        <v>164</v>
      </c>
      <c r="I90" s="86"/>
      <c r="J90" s="162"/>
      <c r="K90" s="97">
        <v>0</v>
      </c>
      <c r="L90" s="201"/>
      <c r="M90" s="97">
        <v>117180</v>
      </c>
      <c r="N90" s="442">
        <f t="shared" si="2"/>
        <v>117180</v>
      </c>
      <c r="O90" s="440">
        <v>117180</v>
      </c>
    </row>
    <row r="91" spans="1:15" ht="15.75">
      <c r="A91" s="235" t="s">
        <v>647</v>
      </c>
      <c r="B91" s="23" t="s">
        <v>153</v>
      </c>
      <c r="C91" s="23" t="s">
        <v>646</v>
      </c>
      <c r="D91" s="23"/>
      <c r="E91" s="23"/>
      <c r="F91" s="23"/>
      <c r="G91" s="23"/>
      <c r="H91" s="23"/>
      <c r="I91" s="24" t="e">
        <f>#REF!+#REF!+#REF!+I105+#REF!+I107</f>
        <v>#REF!</v>
      </c>
      <c r="J91" s="277">
        <f>SUM(J92:J103)</f>
        <v>0</v>
      </c>
      <c r="K91" s="24">
        <f>SUM(K92:K103)</f>
        <v>18848144.48</v>
      </c>
      <c r="L91" s="24">
        <f>SUM(L92:L103)</f>
        <v>0</v>
      </c>
      <c r="M91" s="24">
        <f>SUM(M92:M103)</f>
        <v>8455015</v>
      </c>
      <c r="N91" s="442">
        <f t="shared" si="2"/>
        <v>8455015</v>
      </c>
      <c r="O91" s="440">
        <v>16611305.23</v>
      </c>
    </row>
    <row r="92" spans="1:15" ht="65.25" customHeight="1">
      <c r="A92" s="64" t="s">
        <v>665</v>
      </c>
      <c r="B92" s="22" t="s">
        <v>153</v>
      </c>
      <c r="C92" s="22" t="s">
        <v>646</v>
      </c>
      <c r="D92" s="22" t="s">
        <v>61</v>
      </c>
      <c r="E92" s="22" t="s">
        <v>60</v>
      </c>
      <c r="F92" s="22" t="s">
        <v>69</v>
      </c>
      <c r="G92" s="133" t="s">
        <v>681</v>
      </c>
      <c r="H92" s="22" t="s">
        <v>164</v>
      </c>
      <c r="I92" s="86"/>
      <c r="J92" s="162"/>
      <c r="K92" s="236">
        <v>1974678.17</v>
      </c>
      <c r="L92" s="201"/>
      <c r="M92" s="236">
        <v>1761044.73</v>
      </c>
      <c r="N92" s="442">
        <f t="shared" si="2"/>
        <v>1761044.73</v>
      </c>
      <c r="O92" s="440">
        <v>915886.76</v>
      </c>
    </row>
    <row r="93" spans="1:15" ht="65.25" customHeight="1">
      <c r="A93" s="64" t="s">
        <v>1256</v>
      </c>
      <c r="B93" s="22" t="s">
        <v>153</v>
      </c>
      <c r="C93" s="22" t="s">
        <v>646</v>
      </c>
      <c r="D93" s="22" t="s">
        <v>61</v>
      </c>
      <c r="E93" s="22" t="s">
        <v>60</v>
      </c>
      <c r="F93" s="22" t="s">
        <v>69</v>
      </c>
      <c r="G93" s="133" t="s">
        <v>681</v>
      </c>
      <c r="H93" s="22" t="s">
        <v>974</v>
      </c>
      <c r="I93" s="86"/>
      <c r="J93" s="162"/>
      <c r="K93" s="236">
        <v>3230872.0599999996</v>
      </c>
      <c r="L93" s="201"/>
      <c r="M93" s="236"/>
      <c r="N93" s="442">
        <f t="shared" si="2"/>
        <v>0</v>
      </c>
      <c r="O93" s="440">
        <v>3152824.2199999997</v>
      </c>
    </row>
    <row r="94" spans="1:15" ht="69.75" customHeight="1">
      <c r="A94" s="64" t="s">
        <v>652</v>
      </c>
      <c r="B94" s="22" t="s">
        <v>153</v>
      </c>
      <c r="C94" s="22" t="s">
        <v>646</v>
      </c>
      <c r="D94" s="22" t="s">
        <v>61</v>
      </c>
      <c r="E94" s="22" t="s">
        <v>60</v>
      </c>
      <c r="F94" s="22" t="s">
        <v>69</v>
      </c>
      <c r="G94" s="133" t="s">
        <v>682</v>
      </c>
      <c r="H94" s="22" t="s">
        <v>164</v>
      </c>
      <c r="I94" s="86"/>
      <c r="J94" s="162"/>
      <c r="K94" s="236">
        <v>4259353.07</v>
      </c>
      <c r="L94" s="201"/>
      <c r="M94" s="236">
        <v>4353635.62</v>
      </c>
      <c r="N94" s="442">
        <f t="shared" si="2"/>
        <v>4353635.62</v>
      </c>
      <c r="O94" s="440">
        <v>5159353.07</v>
      </c>
    </row>
    <row r="95" spans="1:15" ht="64.5" customHeight="1">
      <c r="A95" s="64" t="s">
        <v>1198</v>
      </c>
      <c r="B95" s="22" t="s">
        <v>153</v>
      </c>
      <c r="C95" s="22" t="s">
        <v>646</v>
      </c>
      <c r="D95" s="22" t="s">
        <v>61</v>
      </c>
      <c r="E95" s="22" t="s">
        <v>60</v>
      </c>
      <c r="F95" s="22" t="s">
        <v>69</v>
      </c>
      <c r="G95" s="133" t="s">
        <v>682</v>
      </c>
      <c r="H95" s="22" t="s">
        <v>974</v>
      </c>
      <c r="I95" s="86"/>
      <c r="J95" s="162"/>
      <c r="K95" s="236"/>
      <c r="L95" s="201"/>
      <c r="M95" s="236"/>
      <c r="N95" s="442">
        <f t="shared" si="2"/>
        <v>0</v>
      </c>
      <c r="O95" s="440"/>
    </row>
    <row r="96" spans="1:15" ht="96" customHeight="1">
      <c r="A96" s="64" t="s">
        <v>1212</v>
      </c>
      <c r="B96" s="22" t="s">
        <v>153</v>
      </c>
      <c r="C96" s="22" t="s">
        <v>646</v>
      </c>
      <c r="D96" s="22" t="s">
        <v>61</v>
      </c>
      <c r="E96" s="22" t="s">
        <v>60</v>
      </c>
      <c r="F96" s="22" t="s">
        <v>69</v>
      </c>
      <c r="G96" s="133" t="s">
        <v>1213</v>
      </c>
      <c r="H96" s="22" t="s">
        <v>165</v>
      </c>
      <c r="I96" s="86"/>
      <c r="J96" s="162"/>
      <c r="K96" s="236">
        <v>7000000</v>
      </c>
      <c r="L96" s="201"/>
      <c r="M96" s="236"/>
      <c r="N96" s="442">
        <f t="shared" si="2"/>
        <v>0</v>
      </c>
      <c r="O96" s="200">
        <v>5000000</v>
      </c>
    </row>
    <row r="97" spans="1:15" ht="63.75" customHeight="1">
      <c r="A97" s="64" t="s">
        <v>1203</v>
      </c>
      <c r="B97" s="22" t="s">
        <v>153</v>
      </c>
      <c r="C97" s="22" t="s">
        <v>646</v>
      </c>
      <c r="D97" s="22" t="s">
        <v>61</v>
      </c>
      <c r="E97" s="22" t="s">
        <v>60</v>
      </c>
      <c r="F97" s="22" t="s">
        <v>69</v>
      </c>
      <c r="G97" s="133" t="s">
        <v>1206</v>
      </c>
      <c r="H97" s="22" t="s">
        <v>164</v>
      </c>
      <c r="I97" s="86"/>
      <c r="J97" s="162"/>
      <c r="K97" s="236"/>
      <c r="L97" s="201"/>
      <c r="M97" s="236"/>
      <c r="N97" s="442">
        <f t="shared" si="2"/>
        <v>0</v>
      </c>
      <c r="O97" s="440"/>
    </row>
    <row r="98" spans="1:15" ht="63.75" customHeight="1">
      <c r="A98" s="64" t="s">
        <v>1204</v>
      </c>
      <c r="B98" s="22" t="s">
        <v>153</v>
      </c>
      <c r="C98" s="22" t="s">
        <v>646</v>
      </c>
      <c r="D98" s="22" t="s">
        <v>61</v>
      </c>
      <c r="E98" s="22" t="s">
        <v>60</v>
      </c>
      <c r="F98" s="22" t="s">
        <v>69</v>
      </c>
      <c r="G98" s="133" t="s">
        <v>1207</v>
      </c>
      <c r="H98" s="22" t="s">
        <v>164</v>
      </c>
      <c r="I98" s="86"/>
      <c r="J98" s="162"/>
      <c r="K98" s="236"/>
      <c r="L98" s="201"/>
      <c r="M98" s="236"/>
      <c r="N98" s="442">
        <f t="shared" si="2"/>
        <v>0</v>
      </c>
      <c r="O98" s="440"/>
    </row>
    <row r="99" spans="1:15" ht="66" customHeight="1">
      <c r="A99" s="64" t="s">
        <v>1205</v>
      </c>
      <c r="B99" s="22" t="s">
        <v>153</v>
      </c>
      <c r="C99" s="22" t="s">
        <v>646</v>
      </c>
      <c r="D99" s="22" t="s">
        <v>61</v>
      </c>
      <c r="E99" s="22" t="s">
        <v>92</v>
      </c>
      <c r="F99" s="22" t="s">
        <v>69</v>
      </c>
      <c r="G99" s="133" t="s">
        <v>1208</v>
      </c>
      <c r="H99" s="22" t="s">
        <v>164</v>
      </c>
      <c r="I99" s="86"/>
      <c r="J99" s="162"/>
      <c r="K99" s="32"/>
      <c r="L99" s="201"/>
      <c r="M99" s="32"/>
      <c r="N99" s="442">
        <f t="shared" si="2"/>
        <v>0</v>
      </c>
      <c r="O99" s="440"/>
    </row>
    <row r="100" spans="1:15" ht="112.5" customHeight="1">
      <c r="A100" s="319" t="s">
        <v>755</v>
      </c>
      <c r="B100" s="22" t="s">
        <v>153</v>
      </c>
      <c r="C100" s="22" t="s">
        <v>646</v>
      </c>
      <c r="D100" s="22" t="s">
        <v>61</v>
      </c>
      <c r="E100" s="22" t="s">
        <v>60</v>
      </c>
      <c r="F100" s="22" t="s">
        <v>69</v>
      </c>
      <c r="G100" s="133" t="s">
        <v>1342</v>
      </c>
      <c r="H100" s="22" t="s">
        <v>53</v>
      </c>
      <c r="I100" s="86"/>
      <c r="J100" s="162"/>
      <c r="K100" s="97">
        <v>1320000</v>
      </c>
      <c r="L100" s="201"/>
      <c r="M100" s="97">
        <v>1320000</v>
      </c>
      <c r="N100" s="442">
        <f t="shared" si="2"/>
        <v>1320000</v>
      </c>
      <c r="O100" s="440">
        <v>1320000</v>
      </c>
    </row>
    <row r="101" spans="1:15" ht="144" customHeight="1">
      <c r="A101" s="64" t="s">
        <v>1319</v>
      </c>
      <c r="B101" s="22" t="s">
        <v>153</v>
      </c>
      <c r="C101" s="22" t="s">
        <v>646</v>
      </c>
      <c r="D101" s="22" t="s">
        <v>162</v>
      </c>
      <c r="E101" s="22" t="s">
        <v>118</v>
      </c>
      <c r="F101" s="22" t="s">
        <v>498</v>
      </c>
      <c r="G101" s="133" t="s">
        <v>1318</v>
      </c>
      <c r="H101" s="22" t="s">
        <v>165</v>
      </c>
      <c r="I101" s="86"/>
      <c r="J101" s="162"/>
      <c r="K101" s="97">
        <v>69684.75</v>
      </c>
      <c r="L101" s="201"/>
      <c r="M101" s="97">
        <v>69684.75</v>
      </c>
      <c r="N101" s="442">
        <f t="shared" si="2"/>
        <v>69684.75</v>
      </c>
      <c r="O101" s="440">
        <v>69684.75</v>
      </c>
    </row>
    <row r="102" spans="1:15" ht="95.25" customHeight="1">
      <c r="A102" s="221" t="s">
        <v>741</v>
      </c>
      <c r="B102" s="133" t="s">
        <v>153</v>
      </c>
      <c r="C102" s="133" t="s">
        <v>646</v>
      </c>
      <c r="D102" s="133" t="s">
        <v>61</v>
      </c>
      <c r="E102" s="133" t="s">
        <v>92</v>
      </c>
      <c r="F102" s="133" t="s">
        <v>69</v>
      </c>
      <c r="G102" s="133" t="s">
        <v>742</v>
      </c>
      <c r="H102" s="133" t="s">
        <v>53</v>
      </c>
      <c r="I102" s="164"/>
      <c r="J102" s="246"/>
      <c r="K102" s="135">
        <v>588736.43</v>
      </c>
      <c r="L102" s="206"/>
      <c r="M102" s="135">
        <f>267000+278675.05+154.85</f>
        <v>545829.9</v>
      </c>
      <c r="N102" s="442">
        <f t="shared" si="2"/>
        <v>545829.9</v>
      </c>
      <c r="O102" s="246">
        <v>588736.43</v>
      </c>
    </row>
    <row r="103" spans="1:15" ht="70.5" customHeight="1">
      <c r="A103" s="158" t="s">
        <v>654</v>
      </c>
      <c r="B103" s="22" t="s">
        <v>153</v>
      </c>
      <c r="C103" s="22" t="s">
        <v>646</v>
      </c>
      <c r="D103" s="22" t="s">
        <v>61</v>
      </c>
      <c r="E103" s="22" t="s">
        <v>92</v>
      </c>
      <c r="F103" s="22" t="s">
        <v>69</v>
      </c>
      <c r="G103" s="133" t="s">
        <v>683</v>
      </c>
      <c r="H103" s="22" t="s">
        <v>164</v>
      </c>
      <c r="I103" s="86"/>
      <c r="J103" s="162"/>
      <c r="K103" s="97">
        <v>404820</v>
      </c>
      <c r="L103" s="201"/>
      <c r="M103" s="97">
        <v>404820</v>
      </c>
      <c r="N103" s="442">
        <f t="shared" si="2"/>
        <v>404820</v>
      </c>
      <c r="O103" s="440">
        <v>404820</v>
      </c>
    </row>
    <row r="104" spans="1:15" ht="15.75">
      <c r="A104" s="235" t="s">
        <v>137</v>
      </c>
      <c r="B104" s="30">
        <v>900</v>
      </c>
      <c r="C104" s="31" t="s">
        <v>138</v>
      </c>
      <c r="D104" s="31"/>
      <c r="E104" s="31"/>
      <c r="F104" s="31"/>
      <c r="G104" s="31"/>
      <c r="H104" s="31"/>
      <c r="I104" s="88" t="e">
        <f>#REF!+#REF!+#REF!+I105</f>
        <v>#REF!</v>
      </c>
      <c r="J104" s="451">
        <f>J105</f>
        <v>0</v>
      </c>
      <c r="K104" s="95">
        <f>K105</f>
        <v>28000</v>
      </c>
      <c r="L104" s="95">
        <f>L105</f>
        <v>0</v>
      </c>
      <c r="M104" s="95">
        <f>M105</f>
        <v>145000</v>
      </c>
      <c r="N104" s="442">
        <f t="shared" si="2"/>
        <v>145000</v>
      </c>
      <c r="O104" s="440">
        <v>28000</v>
      </c>
    </row>
    <row r="105" spans="1:15" ht="15.75">
      <c r="A105" s="235" t="s">
        <v>139</v>
      </c>
      <c r="B105" s="30">
        <v>900</v>
      </c>
      <c r="C105" s="31" t="s">
        <v>140</v>
      </c>
      <c r="D105" s="31"/>
      <c r="E105" s="31"/>
      <c r="F105" s="31"/>
      <c r="G105" s="31"/>
      <c r="H105" s="31"/>
      <c r="I105" s="88">
        <f>I106</f>
        <v>0</v>
      </c>
      <c r="J105" s="451">
        <f>SUM(J106:J109)</f>
        <v>0</v>
      </c>
      <c r="K105" s="95">
        <f>SUM(K106:K109)</f>
        <v>28000</v>
      </c>
      <c r="L105" s="95">
        <f>SUM(L106:L109)</f>
        <v>0</v>
      </c>
      <c r="M105" s="95">
        <f>SUM(M106:M109)</f>
        <v>145000</v>
      </c>
      <c r="N105" s="442">
        <f t="shared" si="2"/>
        <v>145000</v>
      </c>
      <c r="O105" s="440">
        <v>28000</v>
      </c>
    </row>
    <row r="106" spans="1:15" ht="52.5" customHeight="1">
      <c r="A106" s="221" t="s">
        <v>1333</v>
      </c>
      <c r="B106" s="247">
        <v>900</v>
      </c>
      <c r="C106" s="248" t="s">
        <v>140</v>
      </c>
      <c r="D106" s="248" t="s">
        <v>59</v>
      </c>
      <c r="E106" s="248" t="s">
        <v>232</v>
      </c>
      <c r="F106" s="248" t="s">
        <v>69</v>
      </c>
      <c r="G106" s="248" t="s">
        <v>1329</v>
      </c>
      <c r="H106" s="248" t="s">
        <v>164</v>
      </c>
      <c r="I106" s="211"/>
      <c r="J106" s="246"/>
      <c r="K106" s="238">
        <v>0</v>
      </c>
      <c r="L106" s="210"/>
      <c r="M106" s="238">
        <v>126000</v>
      </c>
      <c r="N106" s="442">
        <f t="shared" si="2"/>
        <v>126000</v>
      </c>
      <c r="O106" s="462">
        <v>0</v>
      </c>
    </row>
    <row r="107" spans="1:15" ht="78.75">
      <c r="A107" s="69" t="s">
        <v>1038</v>
      </c>
      <c r="B107" s="67">
        <v>900</v>
      </c>
      <c r="C107" s="68" t="s">
        <v>140</v>
      </c>
      <c r="D107" s="68">
        <v>11</v>
      </c>
      <c r="E107" s="68" t="s">
        <v>60</v>
      </c>
      <c r="F107" s="68" t="s">
        <v>69</v>
      </c>
      <c r="G107" s="248" t="s">
        <v>511</v>
      </c>
      <c r="H107" s="68" t="s">
        <v>164</v>
      </c>
      <c r="I107" s="90"/>
      <c r="J107" s="162"/>
      <c r="K107" s="239">
        <v>4000</v>
      </c>
      <c r="L107" s="201"/>
      <c r="M107" s="239">
        <v>4000</v>
      </c>
      <c r="N107" s="442">
        <f t="shared" si="2"/>
        <v>4000</v>
      </c>
      <c r="O107" s="440">
        <v>4000</v>
      </c>
    </row>
    <row r="108" spans="1:15" ht="51.75" customHeight="1">
      <c r="A108" s="63" t="s">
        <v>1229</v>
      </c>
      <c r="B108" s="67">
        <v>900</v>
      </c>
      <c r="C108" s="68" t="s">
        <v>140</v>
      </c>
      <c r="D108" s="68">
        <v>11</v>
      </c>
      <c r="E108" s="68" t="s">
        <v>68</v>
      </c>
      <c r="F108" s="68" t="s">
        <v>241</v>
      </c>
      <c r="G108" s="248" t="s">
        <v>1039</v>
      </c>
      <c r="H108" s="68" t="s">
        <v>164</v>
      </c>
      <c r="I108" s="90"/>
      <c r="J108" s="162"/>
      <c r="K108" s="239">
        <v>18000</v>
      </c>
      <c r="L108" s="201"/>
      <c r="M108" s="239">
        <v>9000</v>
      </c>
      <c r="N108" s="442">
        <f t="shared" si="2"/>
        <v>9000</v>
      </c>
      <c r="O108" s="440">
        <v>18000</v>
      </c>
    </row>
    <row r="109" spans="1:15" ht="65.25" customHeight="1">
      <c r="A109" s="63" t="s">
        <v>1230</v>
      </c>
      <c r="B109" s="67">
        <v>900</v>
      </c>
      <c r="C109" s="68" t="s">
        <v>140</v>
      </c>
      <c r="D109" s="68">
        <v>11</v>
      </c>
      <c r="E109" s="68" t="s">
        <v>68</v>
      </c>
      <c r="F109" s="68" t="s">
        <v>241</v>
      </c>
      <c r="G109" s="248" t="s">
        <v>1231</v>
      </c>
      <c r="H109" s="68" t="s">
        <v>164</v>
      </c>
      <c r="I109" s="90"/>
      <c r="J109" s="162"/>
      <c r="K109" s="239">
        <v>6000</v>
      </c>
      <c r="L109" s="201"/>
      <c r="M109" s="239">
        <v>6000</v>
      </c>
      <c r="N109" s="442">
        <f t="shared" si="2"/>
        <v>6000</v>
      </c>
      <c r="O109" s="440">
        <v>6000</v>
      </c>
    </row>
    <row r="110" spans="1:15" ht="15.75">
      <c r="A110" s="235" t="s">
        <v>141</v>
      </c>
      <c r="B110" s="23" t="s">
        <v>153</v>
      </c>
      <c r="C110" s="23" t="s">
        <v>142</v>
      </c>
      <c r="D110" s="23"/>
      <c r="E110" s="23"/>
      <c r="F110" s="23"/>
      <c r="G110" s="23"/>
      <c r="H110" s="23"/>
      <c r="I110" s="24">
        <f>I111</f>
        <v>-80.6</v>
      </c>
      <c r="J110" s="277">
        <f>J111</f>
        <v>0</v>
      </c>
      <c r="K110" s="24">
        <f>K111</f>
        <v>15490803.11</v>
      </c>
      <c r="L110" s="24">
        <f>L111</f>
        <v>458853.63</v>
      </c>
      <c r="M110" s="24">
        <f>M111</f>
        <v>14918421</v>
      </c>
      <c r="N110" s="442">
        <f t="shared" si="2"/>
        <v>14918421</v>
      </c>
      <c r="O110" s="440">
        <v>15210469</v>
      </c>
    </row>
    <row r="111" spans="1:15" ht="15.75">
      <c r="A111" s="235" t="s">
        <v>160</v>
      </c>
      <c r="B111" s="23" t="s">
        <v>153</v>
      </c>
      <c r="C111" s="23" t="s">
        <v>161</v>
      </c>
      <c r="D111" s="23"/>
      <c r="E111" s="23"/>
      <c r="F111" s="23"/>
      <c r="G111" s="23"/>
      <c r="H111" s="23"/>
      <c r="I111" s="24">
        <f>SUM(I112:I124)</f>
        <v>-80.6</v>
      </c>
      <c r="J111" s="277">
        <f>SUM(J112:J128)</f>
        <v>0</v>
      </c>
      <c r="K111" s="24">
        <f>SUM(K112:K128)</f>
        <v>15490803.11</v>
      </c>
      <c r="L111" s="24">
        <f>SUM(L112:L128)</f>
        <v>458853.63</v>
      </c>
      <c r="M111" s="24">
        <f>SUM(M112:M128)</f>
        <v>14918421</v>
      </c>
      <c r="N111" s="442">
        <f t="shared" si="2"/>
        <v>14918421</v>
      </c>
      <c r="O111" s="440">
        <v>15210469</v>
      </c>
    </row>
    <row r="112" spans="1:15" ht="81.75" customHeight="1">
      <c r="A112" s="64" t="s">
        <v>398</v>
      </c>
      <c r="B112" s="22" t="s">
        <v>153</v>
      </c>
      <c r="C112" s="22" t="s">
        <v>161</v>
      </c>
      <c r="D112" s="22" t="s">
        <v>59</v>
      </c>
      <c r="E112" s="22" t="s">
        <v>68</v>
      </c>
      <c r="F112" s="22" t="s">
        <v>69</v>
      </c>
      <c r="G112" s="133" t="s">
        <v>512</v>
      </c>
      <c r="H112" s="22" t="s">
        <v>109</v>
      </c>
      <c r="I112" s="86">
        <v>-80.6</v>
      </c>
      <c r="J112" s="162"/>
      <c r="K112" s="204">
        <v>3921863.72</v>
      </c>
      <c r="L112" s="201">
        <v>276488.16</v>
      </c>
      <c r="M112" s="204">
        <f>3998750-61700-14580.28</f>
        <v>3922469.72</v>
      </c>
      <c r="N112" s="442">
        <f t="shared" si="2"/>
        <v>3922469.72</v>
      </c>
      <c r="O112" s="440">
        <v>3921863.72</v>
      </c>
    </row>
    <row r="113" spans="1:15" ht="97.5" customHeight="1">
      <c r="A113" s="221" t="s">
        <v>567</v>
      </c>
      <c r="B113" s="133" t="s">
        <v>153</v>
      </c>
      <c r="C113" s="133" t="s">
        <v>161</v>
      </c>
      <c r="D113" s="133" t="s">
        <v>59</v>
      </c>
      <c r="E113" s="133" t="s">
        <v>68</v>
      </c>
      <c r="F113" s="133" t="s">
        <v>69</v>
      </c>
      <c r="G113" s="133" t="s">
        <v>570</v>
      </c>
      <c r="H113" s="133" t="s">
        <v>109</v>
      </c>
      <c r="I113" s="164"/>
      <c r="J113" s="246"/>
      <c r="K113" s="236">
        <v>15186.28</v>
      </c>
      <c r="L113" s="201"/>
      <c r="M113" s="236">
        <v>14580.28</v>
      </c>
      <c r="N113" s="442">
        <f t="shared" si="2"/>
        <v>14580.28</v>
      </c>
      <c r="O113" s="440">
        <v>15186.28</v>
      </c>
    </row>
    <row r="114" spans="1:15" ht="114" customHeight="1">
      <c r="A114" s="221" t="s">
        <v>513</v>
      </c>
      <c r="B114" s="133" t="s">
        <v>153</v>
      </c>
      <c r="C114" s="133" t="s">
        <v>161</v>
      </c>
      <c r="D114" s="133" t="s">
        <v>59</v>
      </c>
      <c r="E114" s="133" t="s">
        <v>68</v>
      </c>
      <c r="F114" s="133" t="s">
        <v>69</v>
      </c>
      <c r="G114" s="133" t="s">
        <v>514</v>
      </c>
      <c r="H114" s="133" t="s">
        <v>109</v>
      </c>
      <c r="I114" s="164"/>
      <c r="J114" s="246"/>
      <c r="K114" s="236">
        <v>1503410</v>
      </c>
      <c r="L114" s="201"/>
      <c r="M114" s="236">
        <v>1443448</v>
      </c>
      <c r="N114" s="442">
        <f t="shared" si="2"/>
        <v>1443448</v>
      </c>
      <c r="O114" s="440">
        <v>1503410</v>
      </c>
    </row>
    <row r="115" spans="1:15" ht="83.25" customHeight="1">
      <c r="A115" s="64" t="s">
        <v>405</v>
      </c>
      <c r="B115" s="22" t="s">
        <v>153</v>
      </c>
      <c r="C115" s="22" t="s">
        <v>161</v>
      </c>
      <c r="D115" s="22" t="s">
        <v>59</v>
      </c>
      <c r="E115" s="22" t="s">
        <v>60</v>
      </c>
      <c r="F115" s="22" t="s">
        <v>69</v>
      </c>
      <c r="G115" s="133" t="s">
        <v>515</v>
      </c>
      <c r="H115" s="22" t="s">
        <v>109</v>
      </c>
      <c r="I115" s="86"/>
      <c r="J115" s="246"/>
      <c r="K115" s="236">
        <v>6759401.51</v>
      </c>
      <c r="L115" s="201">
        <v>182365.47</v>
      </c>
      <c r="M115" s="236">
        <f>6590157+26561-26244.49</f>
        <v>6590473.51</v>
      </c>
      <c r="N115" s="442">
        <f t="shared" si="2"/>
        <v>6590473.51</v>
      </c>
      <c r="O115" s="440">
        <v>6589401.51</v>
      </c>
    </row>
    <row r="116" spans="1:15" ht="96" customHeight="1">
      <c r="A116" s="64" t="s">
        <v>567</v>
      </c>
      <c r="B116" s="22" t="s">
        <v>153</v>
      </c>
      <c r="C116" s="22" t="s">
        <v>161</v>
      </c>
      <c r="D116" s="22" t="s">
        <v>59</v>
      </c>
      <c r="E116" s="22" t="s">
        <v>60</v>
      </c>
      <c r="F116" s="22" t="s">
        <v>69</v>
      </c>
      <c r="G116" s="133" t="s">
        <v>570</v>
      </c>
      <c r="H116" s="22" t="s">
        <v>109</v>
      </c>
      <c r="I116" s="86"/>
      <c r="J116" s="162"/>
      <c r="K116" s="236">
        <v>27316.49</v>
      </c>
      <c r="L116" s="201"/>
      <c r="M116" s="236">
        <v>26244.49</v>
      </c>
      <c r="N116" s="442">
        <f t="shared" si="2"/>
        <v>26244.49</v>
      </c>
      <c r="O116" s="440">
        <v>27316.49</v>
      </c>
    </row>
    <row r="117" spans="1:15" ht="111.75" customHeight="1">
      <c r="A117" s="64" t="s">
        <v>516</v>
      </c>
      <c r="B117" s="22" t="s">
        <v>153</v>
      </c>
      <c r="C117" s="22" t="s">
        <v>161</v>
      </c>
      <c r="D117" s="22" t="s">
        <v>59</v>
      </c>
      <c r="E117" s="22" t="s">
        <v>60</v>
      </c>
      <c r="F117" s="22" t="s">
        <v>69</v>
      </c>
      <c r="G117" s="133" t="s">
        <v>514</v>
      </c>
      <c r="H117" s="22" t="s">
        <v>109</v>
      </c>
      <c r="I117" s="86"/>
      <c r="J117" s="162"/>
      <c r="K117" s="236">
        <v>2704291</v>
      </c>
      <c r="L117" s="201"/>
      <c r="M117" s="236">
        <v>2598205</v>
      </c>
      <c r="N117" s="442">
        <f t="shared" si="2"/>
        <v>2598205</v>
      </c>
      <c r="O117" s="440">
        <v>2704291</v>
      </c>
    </row>
    <row r="118" spans="1:15" ht="82.5" customHeight="1">
      <c r="A118" s="64" t="s">
        <v>1154</v>
      </c>
      <c r="B118" s="22" t="s">
        <v>153</v>
      </c>
      <c r="C118" s="22" t="s">
        <v>161</v>
      </c>
      <c r="D118" s="22" t="s">
        <v>59</v>
      </c>
      <c r="E118" s="22" t="s">
        <v>68</v>
      </c>
      <c r="F118" s="22" t="s">
        <v>69</v>
      </c>
      <c r="G118" s="133" t="s">
        <v>1155</v>
      </c>
      <c r="H118" s="22" t="s">
        <v>109</v>
      </c>
      <c r="I118" s="86"/>
      <c r="J118" s="162"/>
      <c r="K118" s="162"/>
      <c r="L118" s="201"/>
      <c r="M118" s="236"/>
      <c r="N118" s="442">
        <f t="shared" si="2"/>
        <v>0</v>
      </c>
      <c r="O118" s="440"/>
    </row>
    <row r="119" spans="1:15" ht="65.25" customHeight="1">
      <c r="A119" s="64" t="s">
        <v>1160</v>
      </c>
      <c r="B119" s="22" t="s">
        <v>153</v>
      </c>
      <c r="C119" s="22" t="s">
        <v>161</v>
      </c>
      <c r="D119" s="22" t="s">
        <v>59</v>
      </c>
      <c r="E119" s="22" t="s">
        <v>68</v>
      </c>
      <c r="F119" s="22" t="s">
        <v>69</v>
      </c>
      <c r="G119" s="133" t="s">
        <v>1161</v>
      </c>
      <c r="H119" s="22" t="s">
        <v>109</v>
      </c>
      <c r="I119" s="86"/>
      <c r="J119" s="162"/>
      <c r="K119" s="236"/>
      <c r="L119" s="201"/>
      <c r="M119" s="236"/>
      <c r="N119" s="442">
        <f t="shared" si="2"/>
        <v>0</v>
      </c>
      <c r="O119" s="440"/>
    </row>
    <row r="120" spans="1:15" ht="62.25" customHeight="1">
      <c r="A120" s="221" t="s">
        <v>1189</v>
      </c>
      <c r="B120" s="22" t="s">
        <v>153</v>
      </c>
      <c r="C120" s="22" t="s">
        <v>161</v>
      </c>
      <c r="D120" s="22" t="s">
        <v>59</v>
      </c>
      <c r="E120" s="22" t="s">
        <v>68</v>
      </c>
      <c r="F120" s="22" t="s">
        <v>69</v>
      </c>
      <c r="G120" s="133" t="s">
        <v>1183</v>
      </c>
      <c r="H120" s="22" t="s">
        <v>109</v>
      </c>
      <c r="I120" s="86"/>
      <c r="J120" s="162"/>
      <c r="K120" s="236"/>
      <c r="L120" s="201"/>
      <c r="M120" s="236"/>
      <c r="N120" s="442">
        <f t="shared" si="2"/>
        <v>0</v>
      </c>
      <c r="O120" s="440"/>
    </row>
    <row r="121" spans="1:15" ht="65.25" customHeight="1">
      <c r="A121" s="64" t="s">
        <v>1156</v>
      </c>
      <c r="B121" s="22" t="s">
        <v>153</v>
      </c>
      <c r="C121" s="22" t="s">
        <v>161</v>
      </c>
      <c r="D121" s="22" t="s">
        <v>59</v>
      </c>
      <c r="E121" s="22" t="s">
        <v>60</v>
      </c>
      <c r="F121" s="22" t="s">
        <v>69</v>
      </c>
      <c r="G121" s="133" t="s">
        <v>1157</v>
      </c>
      <c r="H121" s="22" t="s">
        <v>109</v>
      </c>
      <c r="I121" s="86"/>
      <c r="J121" s="162"/>
      <c r="K121" s="240">
        <v>191000</v>
      </c>
      <c r="L121" s="201"/>
      <c r="M121" s="240">
        <v>191000</v>
      </c>
      <c r="N121" s="442">
        <f t="shared" si="2"/>
        <v>191000</v>
      </c>
      <c r="O121" s="440">
        <v>191000</v>
      </c>
    </row>
    <row r="122" spans="1:15" ht="82.5" customHeight="1">
      <c r="A122" s="64" t="s">
        <v>1158</v>
      </c>
      <c r="B122" s="22" t="s">
        <v>153</v>
      </c>
      <c r="C122" s="22" t="s">
        <v>161</v>
      </c>
      <c r="D122" s="22" t="s">
        <v>59</v>
      </c>
      <c r="E122" s="22" t="s">
        <v>60</v>
      </c>
      <c r="F122" s="22" t="s">
        <v>69</v>
      </c>
      <c r="G122" s="133" t="s">
        <v>1159</v>
      </c>
      <c r="H122" s="22" t="s">
        <v>109</v>
      </c>
      <c r="I122" s="86"/>
      <c r="J122" s="162"/>
      <c r="K122" s="162">
        <v>110334.11</v>
      </c>
      <c r="L122" s="201"/>
      <c r="M122" s="236"/>
      <c r="N122" s="442">
        <f t="shared" si="2"/>
        <v>0</v>
      </c>
      <c r="O122" s="440"/>
    </row>
    <row r="123" spans="1:15" ht="65.25" customHeight="1">
      <c r="A123" s="221" t="s">
        <v>1190</v>
      </c>
      <c r="B123" s="22" t="s">
        <v>153</v>
      </c>
      <c r="C123" s="22" t="s">
        <v>161</v>
      </c>
      <c r="D123" s="22" t="s">
        <v>59</v>
      </c>
      <c r="E123" s="22" t="s">
        <v>60</v>
      </c>
      <c r="F123" s="22" t="s">
        <v>69</v>
      </c>
      <c r="G123" s="133" t="s">
        <v>1185</v>
      </c>
      <c r="H123" s="22" t="s">
        <v>109</v>
      </c>
      <c r="I123" s="86"/>
      <c r="J123" s="162"/>
      <c r="K123" s="236"/>
      <c r="L123" s="201"/>
      <c r="M123" s="236"/>
      <c r="N123" s="442">
        <f t="shared" si="2"/>
        <v>0</v>
      </c>
      <c r="O123" s="440"/>
    </row>
    <row r="124" spans="1:15" ht="63">
      <c r="A124" s="63" t="s">
        <v>556</v>
      </c>
      <c r="B124" s="21" t="s">
        <v>153</v>
      </c>
      <c r="C124" s="21" t="s">
        <v>161</v>
      </c>
      <c r="D124" s="21" t="s">
        <v>59</v>
      </c>
      <c r="E124" s="21" t="s">
        <v>60</v>
      </c>
      <c r="F124" s="21" t="s">
        <v>69</v>
      </c>
      <c r="G124" s="133" t="s">
        <v>766</v>
      </c>
      <c r="H124" s="21" t="s">
        <v>109</v>
      </c>
      <c r="I124" s="85"/>
      <c r="J124" s="165"/>
      <c r="K124" s="236"/>
      <c r="L124" s="201"/>
      <c r="M124" s="236"/>
      <c r="N124" s="442">
        <f t="shared" si="2"/>
        <v>0</v>
      </c>
      <c r="O124" s="440"/>
    </row>
    <row r="125" spans="1:15" ht="66.75" customHeight="1">
      <c r="A125" s="221" t="s">
        <v>1439</v>
      </c>
      <c r="B125" s="133" t="s">
        <v>153</v>
      </c>
      <c r="C125" s="133" t="s">
        <v>161</v>
      </c>
      <c r="D125" s="133" t="s">
        <v>59</v>
      </c>
      <c r="E125" s="133" t="s">
        <v>68</v>
      </c>
      <c r="F125" s="133" t="s">
        <v>119</v>
      </c>
      <c r="G125" s="133" t="s">
        <v>1328</v>
      </c>
      <c r="H125" s="133" t="s">
        <v>109</v>
      </c>
      <c r="I125" s="85"/>
      <c r="J125" s="165"/>
      <c r="K125" s="236">
        <v>0</v>
      </c>
      <c r="L125" s="201"/>
      <c r="M125" s="236"/>
      <c r="N125" s="442"/>
      <c r="O125" s="440">
        <v>0</v>
      </c>
    </row>
    <row r="126" spans="1:15" ht="51.75" customHeight="1">
      <c r="A126" s="221" t="s">
        <v>1439</v>
      </c>
      <c r="B126" s="133" t="s">
        <v>153</v>
      </c>
      <c r="C126" s="133" t="s">
        <v>161</v>
      </c>
      <c r="D126" s="133" t="s">
        <v>59</v>
      </c>
      <c r="E126" s="133" t="s">
        <v>68</v>
      </c>
      <c r="F126" s="133" t="s">
        <v>119</v>
      </c>
      <c r="G126" s="133" t="s">
        <v>1487</v>
      </c>
      <c r="H126" s="133" t="s">
        <v>109</v>
      </c>
      <c r="I126" s="164"/>
      <c r="J126" s="246"/>
      <c r="K126" s="236">
        <f>70300+61700</f>
        <v>132000</v>
      </c>
      <c r="L126" s="201"/>
      <c r="M126" s="236">
        <f>70300+61700</f>
        <v>132000</v>
      </c>
      <c r="N126" s="442">
        <f t="shared" si="2"/>
        <v>132000</v>
      </c>
      <c r="O126" s="474">
        <v>132000</v>
      </c>
    </row>
    <row r="127" spans="1:15" ht="51.75" customHeight="1">
      <c r="A127" s="221" t="s">
        <v>1528</v>
      </c>
      <c r="B127" s="247">
        <v>900</v>
      </c>
      <c r="C127" s="248" t="s">
        <v>161</v>
      </c>
      <c r="D127" s="248" t="s">
        <v>59</v>
      </c>
      <c r="E127" s="248" t="s">
        <v>232</v>
      </c>
      <c r="F127" s="248" t="s">
        <v>69</v>
      </c>
      <c r="G127" s="248" t="s">
        <v>1527</v>
      </c>
      <c r="H127" s="248" t="s">
        <v>109</v>
      </c>
      <c r="I127" s="211"/>
      <c r="J127" s="246"/>
      <c r="K127" s="238">
        <v>126000</v>
      </c>
      <c r="L127" s="201"/>
      <c r="M127" s="236"/>
      <c r="N127" s="442"/>
      <c r="O127" s="481">
        <v>126000</v>
      </c>
    </row>
    <row r="128" spans="1:15" ht="96" customHeight="1">
      <c r="A128" s="63" t="s">
        <v>1237</v>
      </c>
      <c r="B128" s="21" t="s">
        <v>153</v>
      </c>
      <c r="C128" s="21" t="s">
        <v>161</v>
      </c>
      <c r="D128" s="21" t="s">
        <v>59</v>
      </c>
      <c r="E128" s="21" t="s">
        <v>60</v>
      </c>
      <c r="F128" s="21" t="s">
        <v>69</v>
      </c>
      <c r="G128" s="133" t="s">
        <v>1236</v>
      </c>
      <c r="H128" s="21" t="s">
        <v>109</v>
      </c>
      <c r="I128" s="85"/>
      <c r="J128" s="165"/>
      <c r="K128" s="236"/>
      <c r="L128" s="201"/>
      <c r="M128" s="236"/>
      <c r="N128" s="442">
        <f t="shared" si="2"/>
        <v>0</v>
      </c>
      <c r="O128" s="440"/>
    </row>
    <row r="129" spans="1:15" ht="15.75">
      <c r="A129" s="235" t="s">
        <v>253</v>
      </c>
      <c r="B129" s="23" t="s">
        <v>153</v>
      </c>
      <c r="C129" s="23" t="s">
        <v>254</v>
      </c>
      <c r="D129" s="23"/>
      <c r="E129" s="23"/>
      <c r="F129" s="23"/>
      <c r="G129" s="23"/>
      <c r="H129" s="23"/>
      <c r="I129" s="24" t="e">
        <f>I130+I133+#REF!</f>
        <v>#REF!</v>
      </c>
      <c r="J129" s="277">
        <f>J130+J133+J139+J137</f>
        <v>0</v>
      </c>
      <c r="K129" s="24">
        <f>K130+K133+K139+K137</f>
        <v>6440736.96</v>
      </c>
      <c r="L129" s="24">
        <f>L130+L133+L139+L137</f>
        <v>30984.94000000004</v>
      </c>
      <c r="M129" s="24">
        <f>M130+M133+M139+M137</f>
        <v>5597776.46</v>
      </c>
      <c r="N129" s="442">
        <f t="shared" si="2"/>
        <v>5597776.46</v>
      </c>
      <c r="O129" s="440">
        <v>6440736.96</v>
      </c>
    </row>
    <row r="130" spans="1:15" ht="15.75">
      <c r="A130" s="235" t="s">
        <v>255</v>
      </c>
      <c r="B130" s="23" t="s">
        <v>153</v>
      </c>
      <c r="C130" s="23" t="s">
        <v>159</v>
      </c>
      <c r="D130" s="23"/>
      <c r="E130" s="23"/>
      <c r="F130" s="23"/>
      <c r="G130" s="23"/>
      <c r="H130" s="23"/>
      <c r="I130" s="70">
        <f>SUM(I131:I132)</f>
        <v>30</v>
      </c>
      <c r="J130" s="277">
        <f>SUM(J131:J132)</f>
        <v>0</v>
      </c>
      <c r="K130" s="24">
        <f>SUM(K131:K132)</f>
        <v>1254553.76</v>
      </c>
      <c r="L130" s="24">
        <f>SUM(L131:L132)</f>
        <v>30984.94000000004</v>
      </c>
      <c r="M130" s="24">
        <f>SUM(M131:M132)</f>
        <v>1254553.76</v>
      </c>
      <c r="N130" s="442">
        <f t="shared" si="2"/>
        <v>1254553.76</v>
      </c>
      <c r="O130" s="440">
        <v>1254553.76</v>
      </c>
    </row>
    <row r="131" spans="1:15" ht="88.5" customHeight="1">
      <c r="A131" s="63" t="s">
        <v>608</v>
      </c>
      <c r="B131" s="21" t="s">
        <v>153</v>
      </c>
      <c r="C131" s="21" t="s">
        <v>159</v>
      </c>
      <c r="D131" s="21" t="s">
        <v>119</v>
      </c>
      <c r="E131" s="21" t="s">
        <v>68</v>
      </c>
      <c r="F131" s="21" t="s">
        <v>119</v>
      </c>
      <c r="G131" s="133" t="s">
        <v>517</v>
      </c>
      <c r="H131" s="21" t="s">
        <v>164</v>
      </c>
      <c r="I131" s="85"/>
      <c r="J131" s="162"/>
      <c r="K131" s="236">
        <v>18540.2</v>
      </c>
      <c r="L131" s="201">
        <v>457.90000000000146</v>
      </c>
      <c r="M131" s="236">
        <v>18540.2</v>
      </c>
      <c r="N131" s="442">
        <f t="shared" si="2"/>
        <v>18540.2</v>
      </c>
      <c r="O131" s="440">
        <v>18540.2</v>
      </c>
    </row>
    <row r="132" spans="1:15" ht="66" customHeight="1">
      <c r="A132" s="63" t="s">
        <v>469</v>
      </c>
      <c r="B132" s="21" t="s">
        <v>153</v>
      </c>
      <c r="C132" s="21" t="s">
        <v>159</v>
      </c>
      <c r="D132" s="21" t="s">
        <v>119</v>
      </c>
      <c r="E132" s="21" t="s">
        <v>68</v>
      </c>
      <c r="F132" s="21" t="s">
        <v>119</v>
      </c>
      <c r="G132" s="133" t="s">
        <v>517</v>
      </c>
      <c r="H132" s="21" t="s">
        <v>110</v>
      </c>
      <c r="I132" s="85">
        <v>30</v>
      </c>
      <c r="J132" s="162"/>
      <c r="K132" s="236">
        <v>1236013.56</v>
      </c>
      <c r="L132" s="201">
        <v>30527.040000000037</v>
      </c>
      <c r="M132" s="236">
        <v>1236013.56</v>
      </c>
      <c r="N132" s="442">
        <f t="shared" si="2"/>
        <v>1236013.56</v>
      </c>
      <c r="O132" s="440">
        <v>1236013.56</v>
      </c>
    </row>
    <row r="133" spans="1:15" ht="15.75">
      <c r="A133" s="235" t="s">
        <v>200</v>
      </c>
      <c r="B133" s="23" t="s">
        <v>153</v>
      </c>
      <c r="C133" s="23" t="s">
        <v>201</v>
      </c>
      <c r="D133" s="23"/>
      <c r="E133" s="23"/>
      <c r="F133" s="23"/>
      <c r="G133" s="23"/>
      <c r="H133" s="23"/>
      <c r="I133" s="70" t="e">
        <f>#REF!+#REF!+#REF!</f>
        <v>#REF!</v>
      </c>
      <c r="J133" s="277">
        <f>SUM(J134:J136)</f>
        <v>0</v>
      </c>
      <c r="K133" s="277">
        <f>SUM(K134:K136)</f>
        <v>845355.2</v>
      </c>
      <c r="L133" s="24">
        <f>SUM(L134:L134)</f>
        <v>0</v>
      </c>
      <c r="M133" s="24">
        <f>SUM(M134:M134)</f>
        <v>2394.7</v>
      </c>
      <c r="N133" s="442">
        <f t="shared" si="2"/>
        <v>2394.7</v>
      </c>
      <c r="O133" s="440">
        <v>845355.2</v>
      </c>
    </row>
    <row r="134" spans="1:15" ht="49.5" customHeight="1">
      <c r="A134" s="124" t="s">
        <v>998</v>
      </c>
      <c r="B134" s="22" t="s">
        <v>153</v>
      </c>
      <c r="C134" s="22" t="s">
        <v>201</v>
      </c>
      <c r="D134" s="22" t="s">
        <v>61</v>
      </c>
      <c r="E134" s="22" t="s">
        <v>232</v>
      </c>
      <c r="F134" s="22" t="s">
        <v>69</v>
      </c>
      <c r="G134" s="133" t="s">
        <v>1004</v>
      </c>
      <c r="H134" s="22" t="s">
        <v>110</v>
      </c>
      <c r="I134" s="125"/>
      <c r="J134" s="437"/>
      <c r="K134" s="236">
        <v>684205.2</v>
      </c>
      <c r="L134" s="201"/>
      <c r="M134" s="236">
        <v>2394.7</v>
      </c>
      <c r="N134" s="442">
        <f t="shared" si="2"/>
        <v>2394.7</v>
      </c>
      <c r="O134" s="440">
        <v>684205.2</v>
      </c>
    </row>
    <row r="135" spans="1:15" ht="49.5" customHeight="1">
      <c r="A135" s="223" t="s">
        <v>1603</v>
      </c>
      <c r="B135" s="22" t="s">
        <v>153</v>
      </c>
      <c r="C135" s="22" t="s">
        <v>201</v>
      </c>
      <c r="D135" s="22" t="s">
        <v>58</v>
      </c>
      <c r="E135" s="22" t="s">
        <v>68</v>
      </c>
      <c r="F135" s="22" t="s">
        <v>1366</v>
      </c>
      <c r="G135" s="133" t="s">
        <v>1604</v>
      </c>
      <c r="H135" s="22" t="s">
        <v>974</v>
      </c>
      <c r="I135" s="125"/>
      <c r="J135" s="437"/>
      <c r="K135" s="236">
        <v>0</v>
      </c>
      <c r="L135" s="201"/>
      <c r="M135" s="236"/>
      <c r="N135" s="442"/>
      <c r="O135" s="440"/>
    </row>
    <row r="136" spans="1:15" ht="199.5" customHeight="1">
      <c r="A136" s="63" t="s">
        <v>1554</v>
      </c>
      <c r="B136" s="22" t="s">
        <v>153</v>
      </c>
      <c r="C136" s="22" t="s">
        <v>201</v>
      </c>
      <c r="D136" s="22" t="s">
        <v>162</v>
      </c>
      <c r="E136" s="22" t="s">
        <v>118</v>
      </c>
      <c r="F136" s="22" t="s">
        <v>498</v>
      </c>
      <c r="G136" s="133" t="s">
        <v>1555</v>
      </c>
      <c r="H136" s="22" t="s">
        <v>164</v>
      </c>
      <c r="I136" s="125"/>
      <c r="J136" s="437"/>
      <c r="K136" s="236">
        <v>161150</v>
      </c>
      <c r="L136" s="201"/>
      <c r="M136" s="236"/>
      <c r="N136" s="442"/>
      <c r="O136" s="440">
        <v>161150</v>
      </c>
    </row>
    <row r="137" spans="1:15" ht="15.75">
      <c r="A137" s="235" t="s">
        <v>202</v>
      </c>
      <c r="B137" s="145" t="s">
        <v>153</v>
      </c>
      <c r="C137" s="145" t="s">
        <v>203</v>
      </c>
      <c r="D137" s="120"/>
      <c r="E137" s="120"/>
      <c r="F137" s="120"/>
      <c r="G137" s="120"/>
      <c r="H137" s="120"/>
      <c r="I137" s="125"/>
      <c r="J137" s="277">
        <f>J138</f>
        <v>0</v>
      </c>
      <c r="K137" s="155">
        <f>K138</f>
        <v>4293828</v>
      </c>
      <c r="L137" s="155">
        <f>L138</f>
        <v>0</v>
      </c>
      <c r="M137" s="155">
        <f>M138</f>
        <v>4293828</v>
      </c>
      <c r="N137" s="442">
        <f t="shared" si="2"/>
        <v>4293828</v>
      </c>
      <c r="O137" s="440">
        <v>4293828</v>
      </c>
    </row>
    <row r="138" spans="1:15" ht="84" customHeight="1">
      <c r="A138" s="63" t="s">
        <v>1058</v>
      </c>
      <c r="B138" s="22" t="s">
        <v>153</v>
      </c>
      <c r="C138" s="22" t="s">
        <v>203</v>
      </c>
      <c r="D138" s="22" t="s">
        <v>61</v>
      </c>
      <c r="E138" s="22" t="s">
        <v>1059</v>
      </c>
      <c r="F138" s="22" t="s">
        <v>69</v>
      </c>
      <c r="G138" s="133" t="s">
        <v>1232</v>
      </c>
      <c r="H138" s="22" t="s">
        <v>974</v>
      </c>
      <c r="I138" s="125"/>
      <c r="J138" s="437"/>
      <c r="K138" s="236">
        <v>4293828</v>
      </c>
      <c r="L138" s="201"/>
      <c r="M138" s="236">
        <v>4293828</v>
      </c>
      <c r="N138" s="442">
        <f t="shared" si="2"/>
        <v>4293828</v>
      </c>
      <c r="O138" s="440">
        <v>4293828</v>
      </c>
    </row>
    <row r="139" spans="1:15" ht="15.75">
      <c r="A139" s="152" t="s">
        <v>328</v>
      </c>
      <c r="B139" s="145" t="s">
        <v>153</v>
      </c>
      <c r="C139" s="145" t="s">
        <v>327</v>
      </c>
      <c r="D139" s="145"/>
      <c r="E139" s="145"/>
      <c r="F139" s="145"/>
      <c r="G139" s="145"/>
      <c r="H139" s="145"/>
      <c r="I139" s="151"/>
      <c r="J139" s="438">
        <f>SUM(J140:J145)</f>
        <v>0</v>
      </c>
      <c r="K139" s="184">
        <f>SUM(K140:K145)</f>
        <v>47000</v>
      </c>
      <c r="L139" s="184">
        <f>SUM(L140:L145)</f>
        <v>0</v>
      </c>
      <c r="M139" s="184">
        <f>SUM(M140:M145)</f>
        <v>47000</v>
      </c>
      <c r="N139" s="442">
        <f t="shared" si="2"/>
        <v>47000</v>
      </c>
      <c r="O139" s="440">
        <v>47000</v>
      </c>
    </row>
    <row r="140" spans="1:15" ht="66.75" customHeight="1">
      <c r="A140" s="69" t="s">
        <v>888</v>
      </c>
      <c r="B140" s="21" t="s">
        <v>153</v>
      </c>
      <c r="C140" s="21" t="s">
        <v>327</v>
      </c>
      <c r="D140" s="21" t="s">
        <v>1366</v>
      </c>
      <c r="E140" s="21" t="s">
        <v>68</v>
      </c>
      <c r="F140" s="21" t="s">
        <v>69</v>
      </c>
      <c r="G140" s="133" t="s">
        <v>869</v>
      </c>
      <c r="H140" s="21" t="s">
        <v>164</v>
      </c>
      <c r="I140" s="85"/>
      <c r="J140" s="165"/>
      <c r="K140" s="236">
        <v>0</v>
      </c>
      <c r="L140" s="201"/>
      <c r="M140" s="236">
        <v>0</v>
      </c>
      <c r="N140" s="442">
        <f t="shared" si="2"/>
        <v>0</v>
      </c>
      <c r="O140" s="440">
        <v>0</v>
      </c>
    </row>
    <row r="141" spans="1:15" ht="66.75" customHeight="1">
      <c r="A141" s="69" t="s">
        <v>893</v>
      </c>
      <c r="B141" s="21" t="s">
        <v>153</v>
      </c>
      <c r="C141" s="21" t="s">
        <v>327</v>
      </c>
      <c r="D141" s="21" t="s">
        <v>1366</v>
      </c>
      <c r="E141" s="21" t="s">
        <v>68</v>
      </c>
      <c r="F141" s="21" t="s">
        <v>69</v>
      </c>
      <c r="G141" s="133" t="s">
        <v>956</v>
      </c>
      <c r="H141" s="21" t="s">
        <v>164</v>
      </c>
      <c r="I141" s="85"/>
      <c r="J141" s="165"/>
      <c r="K141" s="236">
        <v>0</v>
      </c>
      <c r="L141" s="201"/>
      <c r="M141" s="236">
        <v>0</v>
      </c>
      <c r="N141" s="442">
        <f t="shared" si="2"/>
        <v>0</v>
      </c>
      <c r="O141" s="440">
        <v>0</v>
      </c>
    </row>
    <row r="142" spans="1:15" ht="66" customHeight="1">
      <c r="A142" s="223" t="s">
        <v>1374</v>
      </c>
      <c r="B142" s="133" t="s">
        <v>131</v>
      </c>
      <c r="C142" s="133" t="s">
        <v>327</v>
      </c>
      <c r="D142" s="133" t="s">
        <v>1366</v>
      </c>
      <c r="E142" s="133" t="s">
        <v>68</v>
      </c>
      <c r="F142" s="133" t="s">
        <v>119</v>
      </c>
      <c r="G142" s="133" t="s">
        <v>1376</v>
      </c>
      <c r="H142" s="21" t="s">
        <v>164</v>
      </c>
      <c r="I142" s="85"/>
      <c r="J142" s="165"/>
      <c r="K142" s="236">
        <v>30000</v>
      </c>
      <c r="L142" s="201"/>
      <c r="M142" s="236">
        <v>30000</v>
      </c>
      <c r="N142" s="442">
        <f aca="true" t="shared" si="3" ref="N142:N211">M142+J142</f>
        <v>30000</v>
      </c>
      <c r="O142" s="440">
        <v>30000</v>
      </c>
    </row>
    <row r="143" spans="1:15" ht="81" customHeight="1">
      <c r="A143" s="223" t="s">
        <v>1317</v>
      </c>
      <c r="B143" s="133" t="s">
        <v>153</v>
      </c>
      <c r="C143" s="133" t="s">
        <v>327</v>
      </c>
      <c r="D143" s="133" t="s">
        <v>1366</v>
      </c>
      <c r="E143" s="133" t="s">
        <v>68</v>
      </c>
      <c r="F143" s="133" t="s">
        <v>241</v>
      </c>
      <c r="G143" s="133" t="s">
        <v>1323</v>
      </c>
      <c r="H143" s="133" t="s">
        <v>164</v>
      </c>
      <c r="I143" s="164"/>
      <c r="J143" s="246"/>
      <c r="K143" s="236">
        <v>15000</v>
      </c>
      <c r="L143" s="209"/>
      <c r="M143" s="236">
        <v>15000</v>
      </c>
      <c r="N143" s="442">
        <f t="shared" si="3"/>
        <v>15000</v>
      </c>
      <c r="O143" s="440">
        <v>15000</v>
      </c>
    </row>
    <row r="144" spans="1:15" ht="66.75" customHeight="1">
      <c r="A144" s="223" t="s">
        <v>1400</v>
      </c>
      <c r="B144" s="133" t="s">
        <v>153</v>
      </c>
      <c r="C144" s="133" t="s">
        <v>327</v>
      </c>
      <c r="D144" s="133" t="s">
        <v>1366</v>
      </c>
      <c r="E144" s="133" t="s">
        <v>68</v>
      </c>
      <c r="F144" s="133" t="s">
        <v>119</v>
      </c>
      <c r="G144" s="133" t="s">
        <v>1402</v>
      </c>
      <c r="H144" s="133" t="s">
        <v>164</v>
      </c>
      <c r="I144" s="164"/>
      <c r="J144" s="246"/>
      <c r="K144" s="236">
        <v>2000</v>
      </c>
      <c r="L144" s="209"/>
      <c r="M144" s="236">
        <v>2000</v>
      </c>
      <c r="N144" s="442">
        <f t="shared" si="3"/>
        <v>2000</v>
      </c>
      <c r="O144" s="440">
        <v>2000</v>
      </c>
    </row>
    <row r="145" spans="1:15" ht="78.75">
      <c r="A145" s="69" t="s">
        <v>895</v>
      </c>
      <c r="B145" s="21" t="s">
        <v>153</v>
      </c>
      <c r="C145" s="21" t="s">
        <v>327</v>
      </c>
      <c r="D145" s="21" t="s">
        <v>1366</v>
      </c>
      <c r="E145" s="21" t="s">
        <v>68</v>
      </c>
      <c r="F145" s="21" t="s">
        <v>241</v>
      </c>
      <c r="G145" s="133" t="s">
        <v>957</v>
      </c>
      <c r="H145" s="21" t="s">
        <v>164</v>
      </c>
      <c r="I145" s="85"/>
      <c r="J145" s="165"/>
      <c r="K145" s="236">
        <v>0</v>
      </c>
      <c r="L145" s="201"/>
      <c r="M145" s="236">
        <v>0</v>
      </c>
      <c r="N145" s="442">
        <f t="shared" si="3"/>
        <v>0</v>
      </c>
      <c r="O145" s="440">
        <v>0</v>
      </c>
    </row>
    <row r="146" spans="1:15" ht="15.75">
      <c r="A146" s="235" t="s">
        <v>204</v>
      </c>
      <c r="B146" s="23" t="s">
        <v>153</v>
      </c>
      <c r="C146" s="23" t="s">
        <v>205</v>
      </c>
      <c r="D146" s="23"/>
      <c r="E146" s="23"/>
      <c r="F146" s="23"/>
      <c r="G146" s="23"/>
      <c r="H146" s="23"/>
      <c r="I146" s="70">
        <f>I149</f>
        <v>0</v>
      </c>
      <c r="J146" s="277">
        <f>J149+J147</f>
        <v>0</v>
      </c>
      <c r="K146" s="24">
        <f>K149+K147</f>
        <v>1148421</v>
      </c>
      <c r="L146" s="24">
        <f>L149+L147</f>
        <v>0</v>
      </c>
      <c r="M146" s="24">
        <f>M149+M147</f>
        <v>1068521</v>
      </c>
      <c r="N146" s="442">
        <f t="shared" si="3"/>
        <v>1068521</v>
      </c>
      <c r="O146" s="440">
        <v>1148421</v>
      </c>
    </row>
    <row r="147" spans="1:15" ht="18" customHeight="1">
      <c r="A147" s="235" t="s">
        <v>1026</v>
      </c>
      <c r="B147" s="23" t="s">
        <v>153</v>
      </c>
      <c r="C147" s="23" t="s">
        <v>1025</v>
      </c>
      <c r="D147" s="23"/>
      <c r="E147" s="23"/>
      <c r="F147" s="23"/>
      <c r="G147" s="23"/>
      <c r="H147" s="23"/>
      <c r="I147" s="70"/>
      <c r="J147" s="277">
        <f>SUM(J148:J148)</f>
        <v>0</v>
      </c>
      <c r="K147" s="24">
        <f>SUM(K148:K148)</f>
        <v>0</v>
      </c>
      <c r="L147" s="24">
        <f>SUM(L148:L148)</f>
        <v>0</v>
      </c>
      <c r="M147" s="24">
        <f>SUM(M148:M148)</f>
        <v>0</v>
      </c>
      <c r="N147" s="442">
        <f t="shared" si="3"/>
        <v>0</v>
      </c>
      <c r="O147" s="440">
        <v>0</v>
      </c>
    </row>
    <row r="148" spans="1:15" ht="87" customHeight="1">
      <c r="A148" s="124" t="s">
        <v>1028</v>
      </c>
      <c r="B148" s="22" t="s">
        <v>153</v>
      </c>
      <c r="C148" s="22" t="s">
        <v>1025</v>
      </c>
      <c r="D148" s="22" t="s">
        <v>58</v>
      </c>
      <c r="E148" s="22" t="s">
        <v>68</v>
      </c>
      <c r="F148" s="22" t="s">
        <v>69</v>
      </c>
      <c r="G148" s="133" t="s">
        <v>1027</v>
      </c>
      <c r="H148" s="22" t="s">
        <v>974</v>
      </c>
      <c r="I148" s="125"/>
      <c r="J148" s="437"/>
      <c r="K148" s="236">
        <v>0</v>
      </c>
      <c r="L148" s="201"/>
      <c r="M148" s="236">
        <v>0</v>
      </c>
      <c r="N148" s="442">
        <f t="shared" si="3"/>
        <v>0</v>
      </c>
      <c r="O148" s="440">
        <v>0</v>
      </c>
    </row>
    <row r="149" spans="1:15" ht="15.75">
      <c r="A149" s="235" t="s">
        <v>229</v>
      </c>
      <c r="B149" s="23" t="s">
        <v>153</v>
      </c>
      <c r="C149" s="23" t="s">
        <v>206</v>
      </c>
      <c r="D149" s="23"/>
      <c r="E149" s="23"/>
      <c r="F149" s="23"/>
      <c r="G149" s="23"/>
      <c r="H149" s="23"/>
      <c r="I149" s="70">
        <f>SUM(I150:I152)</f>
        <v>0</v>
      </c>
      <c r="J149" s="277">
        <f>SUM(J150:J154)</f>
        <v>0</v>
      </c>
      <c r="K149" s="24">
        <f>SUM(K150:K154)</f>
        <v>1148421</v>
      </c>
      <c r="L149" s="24">
        <f>SUM(L150:L154)</f>
        <v>0</v>
      </c>
      <c r="M149" s="24">
        <f>SUM(M150:M154)</f>
        <v>1068521</v>
      </c>
      <c r="N149" s="442">
        <f t="shared" si="3"/>
        <v>1068521</v>
      </c>
      <c r="O149" s="440">
        <v>1148421</v>
      </c>
    </row>
    <row r="150" spans="1:15" ht="78.75">
      <c r="A150" s="63" t="s">
        <v>673</v>
      </c>
      <c r="B150" s="22" t="s">
        <v>153</v>
      </c>
      <c r="C150" s="22" t="s">
        <v>206</v>
      </c>
      <c r="D150" s="22" t="s">
        <v>292</v>
      </c>
      <c r="E150" s="22" t="s">
        <v>68</v>
      </c>
      <c r="F150" s="22" t="s">
        <v>69</v>
      </c>
      <c r="G150" s="133" t="s">
        <v>518</v>
      </c>
      <c r="H150" s="22" t="s">
        <v>164</v>
      </c>
      <c r="I150" s="86"/>
      <c r="J150" s="162"/>
      <c r="K150" s="236">
        <v>400000</v>
      </c>
      <c r="L150" s="201"/>
      <c r="M150" s="236">
        <v>400000</v>
      </c>
      <c r="N150" s="442">
        <f t="shared" si="3"/>
        <v>400000</v>
      </c>
      <c r="O150" s="440">
        <v>400000</v>
      </c>
    </row>
    <row r="151" spans="1:15" ht="53.25" customHeight="1">
      <c r="A151" s="223" t="s">
        <v>1593</v>
      </c>
      <c r="B151" s="22" t="s">
        <v>153</v>
      </c>
      <c r="C151" s="22" t="s">
        <v>206</v>
      </c>
      <c r="D151" s="22" t="s">
        <v>58</v>
      </c>
      <c r="E151" s="22" t="s">
        <v>68</v>
      </c>
      <c r="F151" s="22" t="s">
        <v>119</v>
      </c>
      <c r="G151" s="133" t="s">
        <v>1245</v>
      </c>
      <c r="H151" s="22" t="s">
        <v>974</v>
      </c>
      <c r="I151" s="86"/>
      <c r="J151" s="162"/>
      <c r="K151" s="236">
        <v>0</v>
      </c>
      <c r="L151" s="201"/>
      <c r="M151" s="236"/>
      <c r="N151" s="442"/>
      <c r="O151" s="440"/>
    </row>
    <row r="152" spans="1:15" ht="66" customHeight="1">
      <c r="A152" s="63" t="s">
        <v>916</v>
      </c>
      <c r="B152" s="22" t="s">
        <v>153</v>
      </c>
      <c r="C152" s="22" t="s">
        <v>206</v>
      </c>
      <c r="D152" s="22" t="s">
        <v>292</v>
      </c>
      <c r="E152" s="22" t="s">
        <v>60</v>
      </c>
      <c r="F152" s="22" t="s">
        <v>69</v>
      </c>
      <c r="G152" s="133" t="s">
        <v>519</v>
      </c>
      <c r="H152" s="22" t="s">
        <v>164</v>
      </c>
      <c r="I152" s="86"/>
      <c r="J152" s="162"/>
      <c r="K152" s="236">
        <v>247020</v>
      </c>
      <c r="L152" s="201"/>
      <c r="M152" s="236">
        <v>167120</v>
      </c>
      <c r="N152" s="442">
        <f t="shared" si="3"/>
        <v>167120</v>
      </c>
      <c r="O152" s="440">
        <v>247020</v>
      </c>
    </row>
    <row r="153" spans="1:15" ht="98.25" customHeight="1">
      <c r="A153" s="63" t="s">
        <v>1488</v>
      </c>
      <c r="B153" s="22" t="s">
        <v>153</v>
      </c>
      <c r="C153" s="22" t="s">
        <v>206</v>
      </c>
      <c r="D153" s="22" t="s">
        <v>292</v>
      </c>
      <c r="E153" s="22" t="s">
        <v>60</v>
      </c>
      <c r="F153" s="22" t="s">
        <v>69</v>
      </c>
      <c r="G153" s="133" t="s">
        <v>501</v>
      </c>
      <c r="H153" s="22" t="s">
        <v>163</v>
      </c>
      <c r="I153" s="86"/>
      <c r="J153" s="162"/>
      <c r="K153" s="236">
        <v>256000</v>
      </c>
      <c r="L153" s="201"/>
      <c r="M153" s="236"/>
      <c r="N153" s="442"/>
      <c r="O153" s="475">
        <v>256000</v>
      </c>
    </row>
    <row r="154" spans="1:15" ht="63">
      <c r="A154" s="63" t="s">
        <v>917</v>
      </c>
      <c r="B154" s="22" t="s">
        <v>153</v>
      </c>
      <c r="C154" s="22" t="s">
        <v>206</v>
      </c>
      <c r="D154" s="22" t="s">
        <v>292</v>
      </c>
      <c r="E154" s="22" t="s">
        <v>60</v>
      </c>
      <c r="F154" s="22" t="s">
        <v>69</v>
      </c>
      <c r="G154" s="133" t="s">
        <v>501</v>
      </c>
      <c r="H154" s="22" t="s">
        <v>164</v>
      </c>
      <c r="I154" s="86"/>
      <c r="J154" s="162"/>
      <c r="K154" s="236">
        <v>245401</v>
      </c>
      <c r="L154" s="201"/>
      <c r="M154" s="236">
        <v>501401</v>
      </c>
      <c r="N154" s="442">
        <f t="shared" si="3"/>
        <v>501401</v>
      </c>
      <c r="O154" s="256">
        <v>245401</v>
      </c>
    </row>
    <row r="155" spans="1:15" ht="15.75">
      <c r="A155" s="233" t="s">
        <v>126</v>
      </c>
      <c r="B155" s="234" t="s">
        <v>127</v>
      </c>
      <c r="C155" s="234"/>
      <c r="D155" s="234"/>
      <c r="E155" s="234"/>
      <c r="F155" s="234"/>
      <c r="G155" s="234"/>
      <c r="H155" s="234"/>
      <c r="I155" s="205">
        <f>I156</f>
        <v>0</v>
      </c>
      <c r="J155" s="434">
        <f>J156+J162</f>
        <v>0</v>
      </c>
      <c r="K155" s="205">
        <f>K156+K162</f>
        <v>1565857.24</v>
      </c>
      <c r="L155" s="205">
        <f>L156+L162</f>
        <v>30672.23999999999</v>
      </c>
      <c r="M155" s="205">
        <f>M156+M162</f>
        <v>1265857.24</v>
      </c>
      <c r="N155" s="442">
        <f t="shared" si="3"/>
        <v>1265857.24</v>
      </c>
      <c r="O155" s="440">
        <v>1315857.24</v>
      </c>
    </row>
    <row r="156" spans="1:15" ht="15.75">
      <c r="A156" s="235" t="s">
        <v>283</v>
      </c>
      <c r="B156" s="23" t="s">
        <v>127</v>
      </c>
      <c r="C156" s="23" t="s">
        <v>284</v>
      </c>
      <c r="D156" s="23"/>
      <c r="E156" s="23"/>
      <c r="F156" s="23"/>
      <c r="G156" s="23"/>
      <c r="H156" s="23"/>
      <c r="I156" s="24">
        <f>I13+I157+I163</f>
        <v>0</v>
      </c>
      <c r="J156" s="277">
        <f>J157</f>
        <v>0</v>
      </c>
      <c r="K156" s="24">
        <f>K157</f>
        <v>1565857.24</v>
      </c>
      <c r="L156" s="24">
        <f>L157</f>
        <v>30672.23999999999</v>
      </c>
      <c r="M156" s="24">
        <f>M157</f>
        <v>1265857.24</v>
      </c>
      <c r="N156" s="442">
        <f t="shared" si="3"/>
        <v>1265857.24</v>
      </c>
      <c r="O156" s="440">
        <v>1315857.24</v>
      </c>
    </row>
    <row r="157" spans="1:15" ht="61.5" customHeight="1">
      <c r="A157" s="235" t="s">
        <v>252</v>
      </c>
      <c r="B157" s="23" t="s">
        <v>127</v>
      </c>
      <c r="C157" s="23" t="s">
        <v>129</v>
      </c>
      <c r="D157" s="23"/>
      <c r="E157" s="23"/>
      <c r="F157" s="23"/>
      <c r="G157" s="23"/>
      <c r="H157" s="23"/>
      <c r="I157" s="70">
        <f>SUM(I159:I161)</f>
        <v>0</v>
      </c>
      <c r="J157" s="277">
        <f>SUM(J158:J161)</f>
        <v>0</v>
      </c>
      <c r="K157" s="24">
        <f>SUM(K158:K161)</f>
        <v>1565857.24</v>
      </c>
      <c r="L157" s="24">
        <f>SUM(L158:L161)</f>
        <v>30672.23999999999</v>
      </c>
      <c r="M157" s="24">
        <f>SUM(M158:M161)</f>
        <v>1265857.24</v>
      </c>
      <c r="N157" s="442">
        <f t="shared" si="3"/>
        <v>1265857.24</v>
      </c>
      <c r="O157" s="440">
        <v>1315857.24</v>
      </c>
    </row>
    <row r="158" spans="1:15" ht="100.5" customHeight="1">
      <c r="A158" s="124" t="s">
        <v>975</v>
      </c>
      <c r="B158" s="22" t="s">
        <v>127</v>
      </c>
      <c r="C158" s="22" t="s">
        <v>129</v>
      </c>
      <c r="D158" s="22" t="s">
        <v>119</v>
      </c>
      <c r="E158" s="22" t="s">
        <v>60</v>
      </c>
      <c r="F158" s="22" t="s">
        <v>119</v>
      </c>
      <c r="G158" s="133" t="s">
        <v>558</v>
      </c>
      <c r="H158" s="22" t="s">
        <v>163</v>
      </c>
      <c r="I158" s="125"/>
      <c r="J158" s="437"/>
      <c r="K158" s="236">
        <v>489343.68</v>
      </c>
      <c r="L158" s="201">
        <v>20623.679999999993</v>
      </c>
      <c r="M158" s="236">
        <v>489343.68</v>
      </c>
      <c r="N158" s="442">
        <f t="shared" si="3"/>
        <v>489343.68</v>
      </c>
      <c r="O158" s="440">
        <v>489343.68</v>
      </c>
    </row>
    <row r="159" spans="1:15" ht="99.75" customHeight="1">
      <c r="A159" s="63" t="s">
        <v>520</v>
      </c>
      <c r="B159" s="21" t="s">
        <v>127</v>
      </c>
      <c r="C159" s="21" t="s">
        <v>129</v>
      </c>
      <c r="D159" s="21" t="s">
        <v>119</v>
      </c>
      <c r="E159" s="21" t="s">
        <v>60</v>
      </c>
      <c r="F159" s="21" t="s">
        <v>119</v>
      </c>
      <c r="G159" s="133" t="s">
        <v>521</v>
      </c>
      <c r="H159" s="21" t="s">
        <v>163</v>
      </c>
      <c r="I159" s="85">
        <v>14.3</v>
      </c>
      <c r="J159" s="162"/>
      <c r="K159" s="236">
        <v>237904.56</v>
      </c>
      <c r="L159" s="201">
        <v>10048.559999999998</v>
      </c>
      <c r="M159" s="236">
        <v>237904.56</v>
      </c>
      <c r="N159" s="442">
        <f t="shared" si="3"/>
        <v>237904.56</v>
      </c>
      <c r="O159" s="440">
        <v>237904.56</v>
      </c>
    </row>
    <row r="160" spans="1:15" ht="52.5" customHeight="1">
      <c r="A160" s="63" t="s">
        <v>591</v>
      </c>
      <c r="B160" s="21" t="s">
        <v>127</v>
      </c>
      <c r="C160" s="21" t="s">
        <v>129</v>
      </c>
      <c r="D160" s="21" t="s">
        <v>119</v>
      </c>
      <c r="E160" s="21" t="s">
        <v>60</v>
      </c>
      <c r="F160" s="21" t="s">
        <v>119</v>
      </c>
      <c r="G160" s="133" t="s">
        <v>521</v>
      </c>
      <c r="H160" s="21" t="s">
        <v>164</v>
      </c>
      <c r="I160" s="85">
        <v>-14.3</v>
      </c>
      <c r="J160" s="165"/>
      <c r="K160" s="236">
        <v>820479</v>
      </c>
      <c r="L160" s="201"/>
      <c r="M160" s="236">
        <v>520479</v>
      </c>
      <c r="N160" s="442">
        <f t="shared" si="3"/>
        <v>520479</v>
      </c>
      <c r="O160" s="440">
        <v>570479</v>
      </c>
    </row>
    <row r="161" spans="1:15" ht="47.25" customHeight="1">
      <c r="A161" s="63" t="s">
        <v>958</v>
      </c>
      <c r="B161" s="21" t="s">
        <v>127</v>
      </c>
      <c r="C161" s="21" t="s">
        <v>129</v>
      </c>
      <c r="D161" s="21" t="s">
        <v>119</v>
      </c>
      <c r="E161" s="21" t="s">
        <v>60</v>
      </c>
      <c r="F161" s="21" t="s">
        <v>119</v>
      </c>
      <c r="G161" s="133" t="s">
        <v>521</v>
      </c>
      <c r="H161" s="21" t="s">
        <v>110</v>
      </c>
      <c r="I161" s="85"/>
      <c r="J161" s="165"/>
      <c r="K161" s="236">
        <v>18130</v>
      </c>
      <c r="L161" s="201"/>
      <c r="M161" s="236">
        <v>18130</v>
      </c>
      <c r="N161" s="442">
        <f t="shared" si="3"/>
        <v>18130</v>
      </c>
      <c r="O161" s="440">
        <v>18130</v>
      </c>
    </row>
    <row r="162" spans="1:15" ht="15.75">
      <c r="A162" s="235" t="s">
        <v>253</v>
      </c>
      <c r="B162" s="23" t="s">
        <v>127</v>
      </c>
      <c r="C162" s="23" t="s">
        <v>254</v>
      </c>
      <c r="D162" s="120"/>
      <c r="E162" s="120"/>
      <c r="F162" s="120"/>
      <c r="G162" s="120"/>
      <c r="H162" s="120"/>
      <c r="I162" s="146"/>
      <c r="J162" s="277">
        <f>J163</f>
        <v>0</v>
      </c>
      <c r="K162" s="241">
        <f>K163</f>
        <v>0</v>
      </c>
      <c r="L162" s="201"/>
      <c r="M162" s="241">
        <f>M163</f>
        <v>0</v>
      </c>
      <c r="N162" s="442">
        <f t="shared" si="3"/>
        <v>0</v>
      </c>
      <c r="O162" s="440">
        <v>0</v>
      </c>
    </row>
    <row r="163" spans="1:15" ht="15.75">
      <c r="A163" s="235" t="s">
        <v>314</v>
      </c>
      <c r="B163" s="23" t="s">
        <v>127</v>
      </c>
      <c r="C163" s="23" t="s">
        <v>327</v>
      </c>
      <c r="D163" s="23"/>
      <c r="E163" s="23"/>
      <c r="F163" s="23"/>
      <c r="G163" s="23"/>
      <c r="H163" s="23"/>
      <c r="I163" s="24">
        <f>I165</f>
        <v>0</v>
      </c>
      <c r="J163" s="277">
        <f>SUM(J164:J165)</f>
        <v>0</v>
      </c>
      <c r="K163" s="157">
        <f>SUM(K164:K165)</f>
        <v>0</v>
      </c>
      <c r="L163" s="201"/>
      <c r="M163" s="157">
        <f>SUM(M164:M165)</f>
        <v>0</v>
      </c>
      <c r="N163" s="442">
        <f t="shared" si="3"/>
        <v>0</v>
      </c>
      <c r="O163" s="440">
        <v>0</v>
      </c>
    </row>
    <row r="164" spans="1:15" ht="63">
      <c r="A164" s="154" t="s">
        <v>937</v>
      </c>
      <c r="B164" s="22" t="s">
        <v>127</v>
      </c>
      <c r="C164" s="22" t="s">
        <v>327</v>
      </c>
      <c r="D164" s="22" t="s">
        <v>1366</v>
      </c>
      <c r="E164" s="22" t="s">
        <v>68</v>
      </c>
      <c r="F164" s="22" t="s">
        <v>119</v>
      </c>
      <c r="G164" s="22" t="s">
        <v>959</v>
      </c>
      <c r="H164" s="22" t="s">
        <v>164</v>
      </c>
      <c r="I164" s="24"/>
      <c r="J164" s="165"/>
      <c r="K164" s="236"/>
      <c r="L164" s="201"/>
      <c r="M164" s="236"/>
      <c r="N164" s="442">
        <f t="shared" si="3"/>
        <v>0</v>
      </c>
      <c r="O164" s="440"/>
    </row>
    <row r="165" spans="1:15" ht="63.75" customHeight="1">
      <c r="A165" s="69" t="s">
        <v>891</v>
      </c>
      <c r="B165" s="21" t="s">
        <v>127</v>
      </c>
      <c r="C165" s="21" t="s">
        <v>327</v>
      </c>
      <c r="D165" s="21" t="s">
        <v>1366</v>
      </c>
      <c r="E165" s="21" t="s">
        <v>68</v>
      </c>
      <c r="F165" s="21" t="s">
        <v>69</v>
      </c>
      <c r="G165" s="133" t="s">
        <v>538</v>
      </c>
      <c r="H165" s="21" t="s">
        <v>164</v>
      </c>
      <c r="I165" s="85"/>
      <c r="J165" s="165"/>
      <c r="K165" s="236"/>
      <c r="L165" s="201"/>
      <c r="M165" s="236"/>
      <c r="N165" s="442">
        <f t="shared" si="3"/>
        <v>0</v>
      </c>
      <c r="O165" s="440"/>
    </row>
    <row r="166" spans="1:15" ht="31.5">
      <c r="A166" s="233" t="s">
        <v>89</v>
      </c>
      <c r="B166" s="234" t="s">
        <v>131</v>
      </c>
      <c r="C166" s="234"/>
      <c r="D166" s="234"/>
      <c r="E166" s="234"/>
      <c r="F166" s="234"/>
      <c r="G166" s="234"/>
      <c r="H166" s="234"/>
      <c r="I166" s="205" t="e">
        <f>I167+I240</f>
        <v>#REF!</v>
      </c>
      <c r="J166" s="434">
        <f>J167+J240</f>
        <v>2449652.19</v>
      </c>
      <c r="K166" s="191">
        <f>K167+K240</f>
        <v>245830208.16000003</v>
      </c>
      <c r="L166" s="191">
        <f>L167+L240</f>
        <v>11014335.91</v>
      </c>
      <c r="M166" s="191">
        <f>M167+M240</f>
        <v>227401691.47</v>
      </c>
      <c r="N166" s="442">
        <f t="shared" si="3"/>
        <v>229851343.66</v>
      </c>
      <c r="O166" s="440">
        <v>237806243.71</v>
      </c>
    </row>
    <row r="167" spans="1:15" ht="15.75">
      <c r="A167" s="235" t="s">
        <v>137</v>
      </c>
      <c r="B167" s="23" t="s">
        <v>131</v>
      </c>
      <c r="C167" s="23" t="s">
        <v>138</v>
      </c>
      <c r="D167" s="23"/>
      <c r="E167" s="23"/>
      <c r="F167" s="23"/>
      <c r="G167" s="23"/>
      <c r="H167" s="23"/>
      <c r="I167" s="24" t="e">
        <f>I168+I181+I226+I235</f>
        <v>#REF!</v>
      </c>
      <c r="J167" s="277">
        <f>J168+J181+J217+J226+J235</f>
        <v>2449652.19</v>
      </c>
      <c r="K167" s="157">
        <f>K168+K181+K217+K226+K235</f>
        <v>243960295.36</v>
      </c>
      <c r="L167" s="157">
        <f>L168+L181+L217+L226+L235</f>
        <v>11014335.91</v>
      </c>
      <c r="M167" s="157">
        <f>M168+M181+M217+M226+M235</f>
        <v>225137678.67</v>
      </c>
      <c r="N167" s="442">
        <f t="shared" si="3"/>
        <v>227587330.85999998</v>
      </c>
      <c r="O167" s="440">
        <v>235542230.91</v>
      </c>
    </row>
    <row r="168" spans="1:15" ht="15.75">
      <c r="A168" s="235" t="s">
        <v>132</v>
      </c>
      <c r="B168" s="23" t="s">
        <v>131</v>
      </c>
      <c r="C168" s="23" t="s">
        <v>236</v>
      </c>
      <c r="D168" s="23"/>
      <c r="E168" s="23"/>
      <c r="F168" s="23"/>
      <c r="G168" s="23"/>
      <c r="H168" s="23"/>
      <c r="I168" s="24">
        <f>SUM(I169:I180)</f>
        <v>500</v>
      </c>
      <c r="J168" s="277">
        <f>SUM(J169:J180)</f>
        <v>0</v>
      </c>
      <c r="K168" s="157">
        <f>SUM(K169:K180)</f>
        <v>85502486.68</v>
      </c>
      <c r="L168" s="157">
        <f>SUM(L169:L180)</f>
        <v>6184032.74</v>
      </c>
      <c r="M168" s="157">
        <f>SUM(M169:M180)</f>
        <v>82862818.38</v>
      </c>
      <c r="N168" s="442">
        <f t="shared" si="3"/>
        <v>82862818.38</v>
      </c>
      <c r="O168" s="440">
        <v>83415617.38</v>
      </c>
    </row>
    <row r="169" spans="1:15" ht="78.75">
      <c r="A169" s="242" t="s">
        <v>431</v>
      </c>
      <c r="B169" s="21" t="s">
        <v>131</v>
      </c>
      <c r="C169" s="21" t="s">
        <v>236</v>
      </c>
      <c r="D169" s="21" t="s">
        <v>230</v>
      </c>
      <c r="E169" s="21" t="s">
        <v>68</v>
      </c>
      <c r="F169" s="21" t="s">
        <v>69</v>
      </c>
      <c r="G169" s="133" t="s">
        <v>522</v>
      </c>
      <c r="H169" s="21" t="s">
        <v>109</v>
      </c>
      <c r="I169" s="85">
        <v>500</v>
      </c>
      <c r="J169" s="162">
        <v>-4098</v>
      </c>
      <c r="K169" s="193">
        <v>3783583.42</v>
      </c>
      <c r="L169" s="201"/>
      <c r="M169" s="193">
        <v>3747158.63</v>
      </c>
      <c r="N169" s="442">
        <f t="shared" si="3"/>
        <v>3743060.63</v>
      </c>
      <c r="O169" s="440">
        <v>3747158.63</v>
      </c>
    </row>
    <row r="170" spans="1:15" ht="132" customHeight="1">
      <c r="A170" s="63" t="s">
        <v>698</v>
      </c>
      <c r="B170" s="21" t="s">
        <v>131</v>
      </c>
      <c r="C170" s="21" t="s">
        <v>236</v>
      </c>
      <c r="D170" s="21" t="s">
        <v>230</v>
      </c>
      <c r="E170" s="21" t="s">
        <v>68</v>
      </c>
      <c r="F170" s="21" t="s">
        <v>69</v>
      </c>
      <c r="G170" s="133" t="s">
        <v>714</v>
      </c>
      <c r="H170" s="21" t="s">
        <v>109</v>
      </c>
      <c r="I170" s="85"/>
      <c r="J170" s="246"/>
      <c r="K170" s="236">
        <f>11006249.37+5074666.24</f>
        <v>16080915.61</v>
      </c>
      <c r="L170" s="201">
        <v>5074666.24</v>
      </c>
      <c r="M170" s="236">
        <f>11006249.37+5074666.24</f>
        <v>16080915.61</v>
      </c>
      <c r="N170" s="442">
        <f t="shared" si="3"/>
        <v>16080915.61</v>
      </c>
      <c r="O170" s="440">
        <v>16080915.61</v>
      </c>
    </row>
    <row r="171" spans="1:15" ht="82.5" customHeight="1">
      <c r="A171" s="64" t="s">
        <v>1149</v>
      </c>
      <c r="B171" s="22" t="s">
        <v>131</v>
      </c>
      <c r="C171" s="22" t="s">
        <v>236</v>
      </c>
      <c r="D171" s="22" t="s">
        <v>230</v>
      </c>
      <c r="E171" s="22" t="s">
        <v>68</v>
      </c>
      <c r="F171" s="22" t="s">
        <v>69</v>
      </c>
      <c r="G171" s="22" t="s">
        <v>1139</v>
      </c>
      <c r="H171" s="22" t="s">
        <v>109</v>
      </c>
      <c r="I171" s="86"/>
      <c r="J171" s="162"/>
      <c r="K171" s="204">
        <v>3025636.54</v>
      </c>
      <c r="L171" s="203"/>
      <c r="M171" s="193">
        <v>541760.24</v>
      </c>
      <c r="N171" s="442">
        <f t="shared" si="3"/>
        <v>541760.24</v>
      </c>
      <c r="O171" s="193">
        <v>601760.24</v>
      </c>
    </row>
    <row r="172" spans="1:15" ht="96.75" customHeight="1">
      <c r="A172" s="64" t="s">
        <v>699</v>
      </c>
      <c r="B172" s="22" t="s">
        <v>131</v>
      </c>
      <c r="C172" s="22" t="s">
        <v>236</v>
      </c>
      <c r="D172" s="22" t="s">
        <v>230</v>
      </c>
      <c r="E172" s="22" t="s">
        <v>68</v>
      </c>
      <c r="F172" s="22" t="s">
        <v>69</v>
      </c>
      <c r="G172" s="22" t="s">
        <v>715</v>
      </c>
      <c r="H172" s="22" t="s">
        <v>109</v>
      </c>
      <c r="I172" s="86"/>
      <c r="J172" s="162"/>
      <c r="K172" s="240">
        <v>6831590.97</v>
      </c>
      <c r="L172" s="201"/>
      <c r="M172" s="236">
        <v>6900121.97</v>
      </c>
      <c r="N172" s="442">
        <f t="shared" si="3"/>
        <v>6900121.97</v>
      </c>
      <c r="O172" s="440">
        <v>6900121.97</v>
      </c>
    </row>
    <row r="173" spans="1:15" ht="92.25" customHeight="1">
      <c r="A173" s="64" t="s">
        <v>700</v>
      </c>
      <c r="B173" s="22" t="s">
        <v>131</v>
      </c>
      <c r="C173" s="22" t="s">
        <v>236</v>
      </c>
      <c r="D173" s="22" t="s">
        <v>230</v>
      </c>
      <c r="E173" s="22" t="s">
        <v>68</v>
      </c>
      <c r="F173" s="22" t="s">
        <v>69</v>
      </c>
      <c r="G173" s="22" t="s">
        <v>717</v>
      </c>
      <c r="H173" s="22" t="s">
        <v>109</v>
      </c>
      <c r="I173" s="86"/>
      <c r="J173" s="162"/>
      <c r="K173" s="240">
        <v>5829409.19</v>
      </c>
      <c r="L173" s="201"/>
      <c r="M173" s="236">
        <v>6330351.98</v>
      </c>
      <c r="N173" s="442">
        <f t="shared" si="3"/>
        <v>6330351.98</v>
      </c>
      <c r="O173" s="440">
        <v>6330351.98</v>
      </c>
    </row>
    <row r="174" spans="1:15" ht="82.5" customHeight="1">
      <c r="A174" s="250" t="s">
        <v>433</v>
      </c>
      <c r="B174" s="133" t="s">
        <v>131</v>
      </c>
      <c r="C174" s="133" t="s">
        <v>236</v>
      </c>
      <c r="D174" s="133" t="s">
        <v>230</v>
      </c>
      <c r="E174" s="133" t="s">
        <v>68</v>
      </c>
      <c r="F174" s="133" t="s">
        <v>69</v>
      </c>
      <c r="G174" s="133" t="s">
        <v>523</v>
      </c>
      <c r="H174" s="133" t="s">
        <v>109</v>
      </c>
      <c r="I174" s="164"/>
      <c r="J174" s="246"/>
      <c r="K174" s="193">
        <v>6722185.95</v>
      </c>
      <c r="L174" s="202">
        <v>1109366.5</v>
      </c>
      <c r="M174" s="193">
        <v>6856977.95</v>
      </c>
      <c r="N174" s="442">
        <f t="shared" si="3"/>
        <v>6856977.95</v>
      </c>
      <c r="O174" s="440">
        <v>6856977.95</v>
      </c>
    </row>
    <row r="175" spans="1:15" ht="82.5" customHeight="1">
      <c r="A175" s="64" t="s">
        <v>1150</v>
      </c>
      <c r="B175" s="22" t="s">
        <v>131</v>
      </c>
      <c r="C175" s="22" t="s">
        <v>236</v>
      </c>
      <c r="D175" s="22" t="s">
        <v>230</v>
      </c>
      <c r="E175" s="22" t="s">
        <v>68</v>
      </c>
      <c r="F175" s="22" t="s">
        <v>69</v>
      </c>
      <c r="G175" s="22" t="s">
        <v>1140</v>
      </c>
      <c r="H175" s="22" t="s">
        <v>109</v>
      </c>
      <c r="I175" s="86"/>
      <c r="J175" s="162"/>
      <c r="K175" s="240">
        <v>510875</v>
      </c>
      <c r="L175" s="203"/>
      <c r="M175" s="236">
        <v>257000</v>
      </c>
      <c r="N175" s="442">
        <f t="shared" si="3"/>
        <v>257000</v>
      </c>
      <c r="O175" s="440">
        <v>274220</v>
      </c>
    </row>
    <row r="176" spans="1:15" ht="98.25" customHeight="1">
      <c r="A176" s="64" t="s">
        <v>1191</v>
      </c>
      <c r="B176" s="22" t="s">
        <v>131</v>
      </c>
      <c r="C176" s="22" t="s">
        <v>236</v>
      </c>
      <c r="D176" s="22" t="s">
        <v>230</v>
      </c>
      <c r="E176" s="22" t="s">
        <v>68</v>
      </c>
      <c r="F176" s="22" t="s">
        <v>69</v>
      </c>
      <c r="G176" s="22" t="s">
        <v>1171</v>
      </c>
      <c r="H176" s="22" t="s">
        <v>109</v>
      </c>
      <c r="I176" s="86"/>
      <c r="J176" s="162">
        <v>4098</v>
      </c>
      <c r="K176" s="240">
        <v>62179</v>
      </c>
      <c r="L176" s="203"/>
      <c r="M176" s="236"/>
      <c r="N176" s="442">
        <f t="shared" si="3"/>
        <v>4098</v>
      </c>
      <c r="O176" s="200">
        <v>25000</v>
      </c>
    </row>
    <row r="177" spans="1:15" ht="66" customHeight="1">
      <c r="A177" s="221" t="s">
        <v>1192</v>
      </c>
      <c r="B177" s="133" t="s">
        <v>131</v>
      </c>
      <c r="C177" s="133" t="s">
        <v>236</v>
      </c>
      <c r="D177" s="133" t="s">
        <v>230</v>
      </c>
      <c r="E177" s="133" t="s">
        <v>68</v>
      </c>
      <c r="F177" s="133" t="s">
        <v>69</v>
      </c>
      <c r="G177" s="133" t="s">
        <v>1172</v>
      </c>
      <c r="H177" s="133" t="s">
        <v>109</v>
      </c>
      <c r="I177" s="164"/>
      <c r="J177" s="246"/>
      <c r="K177" s="236">
        <v>57000</v>
      </c>
      <c r="L177" s="203"/>
      <c r="M177" s="236"/>
      <c r="N177" s="442">
        <f t="shared" si="3"/>
        <v>0</v>
      </c>
      <c r="O177" s="440"/>
    </row>
    <row r="178" spans="1:15" ht="96.75" customHeight="1">
      <c r="A178" s="242" t="s">
        <v>1030</v>
      </c>
      <c r="B178" s="21" t="s">
        <v>131</v>
      </c>
      <c r="C178" s="21" t="s">
        <v>236</v>
      </c>
      <c r="D178" s="21" t="s">
        <v>1031</v>
      </c>
      <c r="E178" s="21" t="s">
        <v>68</v>
      </c>
      <c r="F178" s="21" t="s">
        <v>69</v>
      </c>
      <c r="G178" s="133" t="s">
        <v>1032</v>
      </c>
      <c r="H178" s="21" t="s">
        <v>109</v>
      </c>
      <c r="I178" s="85"/>
      <c r="J178" s="165"/>
      <c r="K178" s="236"/>
      <c r="L178" s="201"/>
      <c r="M178" s="236"/>
      <c r="N178" s="442">
        <f t="shared" si="3"/>
        <v>0</v>
      </c>
      <c r="O178" s="440"/>
    </row>
    <row r="179" spans="1:15" ht="152.25" customHeight="1">
      <c r="A179" s="224" t="s">
        <v>435</v>
      </c>
      <c r="B179" s="21" t="s">
        <v>131</v>
      </c>
      <c r="C179" s="21" t="s">
        <v>236</v>
      </c>
      <c r="D179" s="21" t="s">
        <v>230</v>
      </c>
      <c r="E179" s="21" t="s">
        <v>68</v>
      </c>
      <c r="F179" s="21" t="s">
        <v>69</v>
      </c>
      <c r="G179" s="133" t="s">
        <v>524</v>
      </c>
      <c r="H179" s="21" t="s">
        <v>109</v>
      </c>
      <c r="I179" s="85"/>
      <c r="J179" s="165"/>
      <c r="K179" s="236">
        <v>298092</v>
      </c>
      <c r="L179" s="201"/>
      <c r="M179" s="236">
        <v>298092</v>
      </c>
      <c r="N179" s="442">
        <f t="shared" si="3"/>
        <v>298092</v>
      </c>
      <c r="O179" s="440">
        <v>298092</v>
      </c>
    </row>
    <row r="180" spans="1:15" ht="141" customHeight="1">
      <c r="A180" s="69" t="s">
        <v>1378</v>
      </c>
      <c r="B180" s="22" t="s">
        <v>131</v>
      </c>
      <c r="C180" s="22" t="s">
        <v>236</v>
      </c>
      <c r="D180" s="22" t="s">
        <v>230</v>
      </c>
      <c r="E180" s="22" t="s">
        <v>68</v>
      </c>
      <c r="F180" s="22" t="s">
        <v>69</v>
      </c>
      <c r="G180" s="133" t="s">
        <v>525</v>
      </c>
      <c r="H180" s="22" t="s">
        <v>109</v>
      </c>
      <c r="I180" s="86"/>
      <c r="J180" s="162"/>
      <c r="K180" s="236">
        <v>42301019</v>
      </c>
      <c r="L180" s="201"/>
      <c r="M180" s="236">
        <v>41850440</v>
      </c>
      <c r="N180" s="442">
        <f t="shared" si="3"/>
        <v>41850440</v>
      </c>
      <c r="O180" s="440">
        <v>42301019</v>
      </c>
    </row>
    <row r="181" spans="1:15" ht="15.75">
      <c r="A181" s="235" t="s">
        <v>237</v>
      </c>
      <c r="B181" s="23" t="s">
        <v>131</v>
      </c>
      <c r="C181" s="23" t="s">
        <v>238</v>
      </c>
      <c r="D181" s="23"/>
      <c r="E181" s="23"/>
      <c r="F181" s="23"/>
      <c r="G181" s="23"/>
      <c r="H181" s="23"/>
      <c r="I181" s="24" t="e">
        <f>I182+I197+I204+#REF!+#REF!+#REF!+I205+#REF!+I206+I207+I208+#REF!+#REF!+I216+I217</f>
        <v>#REF!</v>
      </c>
      <c r="J181" s="277">
        <f>J182+J197+J205+J206+J207+J208+J216+J211+J215+J212+J209+J210</f>
        <v>2449652.19</v>
      </c>
      <c r="K181" s="277">
        <f>K182+K197+K205+K206+K207+K208+K216+K211+K215+K212+K209+K210</f>
        <v>146470605.10000002</v>
      </c>
      <c r="L181" s="24">
        <f>L182+L197+SUM(L205:L216)</f>
        <v>4248087.48</v>
      </c>
      <c r="M181" s="24">
        <f>M182+M197+SUM(M205:M216)</f>
        <v>130478572.71000001</v>
      </c>
      <c r="N181" s="442">
        <f t="shared" si="3"/>
        <v>132928224.9</v>
      </c>
      <c r="O181" s="440">
        <v>140184379.95000002</v>
      </c>
    </row>
    <row r="182" spans="1:15" ht="15.75">
      <c r="A182" s="243" t="s">
        <v>48</v>
      </c>
      <c r="B182" s="20" t="s">
        <v>131</v>
      </c>
      <c r="C182" s="20" t="s">
        <v>238</v>
      </c>
      <c r="D182" s="20"/>
      <c r="E182" s="20"/>
      <c r="F182" s="20"/>
      <c r="G182" s="20"/>
      <c r="H182" s="20"/>
      <c r="I182" s="71" t="e">
        <f>I183+I193+#REF!+#REF!+#REF!+#REF!</f>
        <v>#REF!</v>
      </c>
      <c r="J182" s="439">
        <f>SUM(J183:J196)+J214</f>
        <v>2241348.69</v>
      </c>
      <c r="K182" s="439">
        <f>SUM(K183:K196)+K214</f>
        <v>41913252.949999996</v>
      </c>
      <c r="L182" s="71">
        <f>SUM(L183:L196)</f>
        <v>2221029.72</v>
      </c>
      <c r="M182" s="71">
        <f>SUM(M183:M196)</f>
        <v>31855323.21</v>
      </c>
      <c r="N182" s="442">
        <f t="shared" si="3"/>
        <v>34096671.9</v>
      </c>
      <c r="O182" s="440">
        <v>38191669.300000004</v>
      </c>
    </row>
    <row r="183" spans="1:15" ht="75" customHeight="1">
      <c r="A183" s="63" t="s">
        <v>441</v>
      </c>
      <c r="B183" s="21" t="s">
        <v>131</v>
      </c>
      <c r="C183" s="21" t="s">
        <v>238</v>
      </c>
      <c r="D183" s="21" t="s">
        <v>230</v>
      </c>
      <c r="E183" s="21" t="s">
        <v>60</v>
      </c>
      <c r="F183" s="21" t="s">
        <v>69</v>
      </c>
      <c r="G183" s="133" t="s">
        <v>526</v>
      </c>
      <c r="H183" s="21" t="s">
        <v>109</v>
      </c>
      <c r="I183" s="85"/>
      <c r="J183" s="162"/>
      <c r="K183" s="193">
        <v>6211199.4799999995</v>
      </c>
      <c r="L183" s="201"/>
      <c r="M183" s="193">
        <v>6204730.76</v>
      </c>
      <c r="N183" s="442">
        <f t="shared" si="3"/>
        <v>6204730.76</v>
      </c>
      <c r="O183" s="440">
        <v>6204730.76</v>
      </c>
    </row>
    <row r="184" spans="1:15" ht="110.25">
      <c r="A184" s="69" t="s">
        <v>702</v>
      </c>
      <c r="B184" s="21" t="s">
        <v>131</v>
      </c>
      <c r="C184" s="21" t="s">
        <v>238</v>
      </c>
      <c r="D184" s="21" t="s">
        <v>230</v>
      </c>
      <c r="E184" s="21" t="s">
        <v>60</v>
      </c>
      <c r="F184" s="21" t="s">
        <v>69</v>
      </c>
      <c r="G184" s="133" t="s">
        <v>718</v>
      </c>
      <c r="H184" s="21" t="s">
        <v>109</v>
      </c>
      <c r="I184" s="85"/>
      <c r="J184" s="165"/>
      <c r="K184" s="193">
        <v>8414240.49</v>
      </c>
      <c r="L184" s="201">
        <v>2221029.72</v>
      </c>
      <c r="M184" s="193">
        <v>8414240.49</v>
      </c>
      <c r="N184" s="442">
        <f t="shared" si="3"/>
        <v>8414240.49</v>
      </c>
      <c r="O184" s="440">
        <v>8414240.49</v>
      </c>
    </row>
    <row r="185" spans="1:15" ht="77.25" customHeight="1">
      <c r="A185" s="69" t="s">
        <v>703</v>
      </c>
      <c r="B185" s="21" t="s">
        <v>131</v>
      </c>
      <c r="C185" s="21" t="s">
        <v>238</v>
      </c>
      <c r="D185" s="21" t="s">
        <v>230</v>
      </c>
      <c r="E185" s="21" t="s">
        <v>60</v>
      </c>
      <c r="F185" s="21" t="s">
        <v>69</v>
      </c>
      <c r="G185" s="133" t="s">
        <v>719</v>
      </c>
      <c r="H185" s="21" t="s">
        <v>109</v>
      </c>
      <c r="I185" s="85"/>
      <c r="J185" s="165"/>
      <c r="K185" s="236">
        <v>7078129.970000001</v>
      </c>
      <c r="L185" s="201"/>
      <c r="M185" s="236">
        <v>7229704.11</v>
      </c>
      <c r="N185" s="442">
        <f t="shared" si="3"/>
        <v>7229704.11</v>
      </c>
      <c r="O185" s="440">
        <v>7229704.11</v>
      </c>
    </row>
    <row r="186" spans="1:15" ht="81.75" customHeight="1">
      <c r="A186" s="154" t="s">
        <v>1151</v>
      </c>
      <c r="B186" s="22" t="s">
        <v>131</v>
      </c>
      <c r="C186" s="22" t="s">
        <v>238</v>
      </c>
      <c r="D186" s="22" t="s">
        <v>230</v>
      </c>
      <c r="E186" s="22" t="s">
        <v>60</v>
      </c>
      <c r="F186" s="22" t="s">
        <v>69</v>
      </c>
      <c r="G186" s="22" t="s">
        <v>1141</v>
      </c>
      <c r="H186" s="22" t="s">
        <v>109</v>
      </c>
      <c r="I186" s="86"/>
      <c r="J186" s="162">
        <v>594191.58</v>
      </c>
      <c r="K186" s="204">
        <v>5727621.87</v>
      </c>
      <c r="L186" s="201"/>
      <c r="M186" s="193">
        <v>780353.93</v>
      </c>
      <c r="N186" s="442">
        <f t="shared" si="3"/>
        <v>1374545.51</v>
      </c>
      <c r="O186" s="193">
        <v>3674152.8200000003</v>
      </c>
    </row>
    <row r="187" spans="1:15" ht="67.5" customHeight="1">
      <c r="A187" s="154" t="s">
        <v>1152</v>
      </c>
      <c r="B187" s="22" t="s">
        <v>131</v>
      </c>
      <c r="C187" s="22" t="s">
        <v>238</v>
      </c>
      <c r="D187" s="22" t="s">
        <v>230</v>
      </c>
      <c r="E187" s="22" t="s">
        <v>60</v>
      </c>
      <c r="F187" s="22" t="s">
        <v>69</v>
      </c>
      <c r="G187" s="22" t="s">
        <v>1142</v>
      </c>
      <c r="H187" s="22" t="s">
        <v>109</v>
      </c>
      <c r="I187" s="86"/>
      <c r="J187" s="162"/>
      <c r="K187" s="240">
        <v>1628769.5899999999</v>
      </c>
      <c r="L187" s="201"/>
      <c r="M187" s="236">
        <v>100000</v>
      </c>
      <c r="N187" s="442">
        <f t="shared" si="3"/>
        <v>100000</v>
      </c>
      <c r="O187" s="256">
        <v>132547</v>
      </c>
    </row>
    <row r="188" spans="1:15" ht="100.5" customHeight="1">
      <c r="A188" s="69" t="s">
        <v>1153</v>
      </c>
      <c r="B188" s="21" t="s">
        <v>131</v>
      </c>
      <c r="C188" s="21" t="s">
        <v>238</v>
      </c>
      <c r="D188" s="21" t="s">
        <v>230</v>
      </c>
      <c r="E188" s="21" t="s">
        <v>60</v>
      </c>
      <c r="F188" s="21" t="s">
        <v>69</v>
      </c>
      <c r="G188" s="133" t="s">
        <v>1143</v>
      </c>
      <c r="H188" s="21" t="s">
        <v>109</v>
      </c>
      <c r="I188" s="85"/>
      <c r="J188" s="165"/>
      <c r="K188" s="236">
        <v>57807</v>
      </c>
      <c r="L188" s="201"/>
      <c r="M188" s="236">
        <v>57807</v>
      </c>
      <c r="N188" s="442">
        <f t="shared" si="3"/>
        <v>57807</v>
      </c>
      <c r="O188" s="440">
        <v>57807</v>
      </c>
    </row>
    <row r="189" spans="1:15" ht="67.5" customHeight="1">
      <c r="A189" s="69" t="s">
        <v>1193</v>
      </c>
      <c r="B189" s="21" t="s">
        <v>131</v>
      </c>
      <c r="C189" s="21" t="s">
        <v>238</v>
      </c>
      <c r="D189" s="21" t="s">
        <v>230</v>
      </c>
      <c r="E189" s="21" t="s">
        <v>60</v>
      </c>
      <c r="F189" s="21" t="s">
        <v>69</v>
      </c>
      <c r="G189" s="133" t="s">
        <v>1175</v>
      </c>
      <c r="H189" s="21" t="s">
        <v>109</v>
      </c>
      <c r="I189" s="85"/>
      <c r="J189" s="165"/>
      <c r="K189" s="236">
        <v>45379.58</v>
      </c>
      <c r="L189" s="201"/>
      <c r="M189" s="236"/>
      <c r="N189" s="442">
        <f t="shared" si="3"/>
        <v>0</v>
      </c>
      <c r="O189" s="440">
        <v>22760</v>
      </c>
    </row>
    <row r="190" spans="1:15" ht="99" customHeight="1">
      <c r="A190" s="69" t="s">
        <v>704</v>
      </c>
      <c r="B190" s="21" t="s">
        <v>131</v>
      </c>
      <c r="C190" s="21" t="s">
        <v>238</v>
      </c>
      <c r="D190" s="21" t="s">
        <v>230</v>
      </c>
      <c r="E190" s="21" t="s">
        <v>60</v>
      </c>
      <c r="F190" s="21" t="s">
        <v>69</v>
      </c>
      <c r="G190" s="133" t="s">
        <v>720</v>
      </c>
      <c r="H190" s="21" t="s">
        <v>109</v>
      </c>
      <c r="I190" s="85"/>
      <c r="J190" s="165"/>
      <c r="K190" s="236"/>
      <c r="L190" s="201"/>
      <c r="M190" s="236"/>
      <c r="N190" s="442">
        <f t="shared" si="3"/>
        <v>0</v>
      </c>
      <c r="O190" s="440"/>
    </row>
    <row r="191" spans="1:15" ht="94.5">
      <c r="A191" s="154" t="s">
        <v>705</v>
      </c>
      <c r="B191" s="22" t="s">
        <v>131</v>
      </c>
      <c r="C191" s="22" t="s">
        <v>238</v>
      </c>
      <c r="D191" s="22" t="s">
        <v>230</v>
      </c>
      <c r="E191" s="22" t="s">
        <v>60</v>
      </c>
      <c r="F191" s="22" t="s">
        <v>69</v>
      </c>
      <c r="G191" s="22" t="s">
        <v>721</v>
      </c>
      <c r="H191" s="22" t="s">
        <v>109</v>
      </c>
      <c r="I191" s="86"/>
      <c r="J191" s="162">
        <v>2840.84</v>
      </c>
      <c r="K191" s="240">
        <v>5821129.67</v>
      </c>
      <c r="L191" s="201"/>
      <c r="M191" s="236">
        <v>6974286.92</v>
      </c>
      <c r="N191" s="442">
        <f t="shared" si="3"/>
        <v>6977127.76</v>
      </c>
      <c r="O191" s="440">
        <v>7148726.92</v>
      </c>
    </row>
    <row r="192" spans="1:15" ht="129.75" customHeight="1">
      <c r="A192" s="223" t="s">
        <v>1467</v>
      </c>
      <c r="B192" s="133" t="s">
        <v>131</v>
      </c>
      <c r="C192" s="133" t="s">
        <v>238</v>
      </c>
      <c r="D192" s="133" t="s">
        <v>230</v>
      </c>
      <c r="E192" s="133" t="s">
        <v>60</v>
      </c>
      <c r="F192" s="133" t="s">
        <v>1471</v>
      </c>
      <c r="G192" s="133" t="s">
        <v>1472</v>
      </c>
      <c r="H192" s="133" t="s">
        <v>109</v>
      </c>
      <c r="I192" s="164"/>
      <c r="J192" s="246"/>
      <c r="K192" s="246">
        <v>2234343.0300000003</v>
      </c>
      <c r="L192" s="201"/>
      <c r="M192" s="236"/>
      <c r="N192" s="442"/>
      <c r="O192" s="440">
        <v>2256684.2</v>
      </c>
    </row>
    <row r="193" spans="1:15" s="186" customFormat="1" ht="80.25" customHeight="1">
      <c r="A193" s="223" t="s">
        <v>571</v>
      </c>
      <c r="B193" s="133" t="s">
        <v>131</v>
      </c>
      <c r="C193" s="133" t="s">
        <v>238</v>
      </c>
      <c r="D193" s="133" t="s">
        <v>230</v>
      </c>
      <c r="E193" s="133" t="s">
        <v>60</v>
      </c>
      <c r="F193" s="133" t="s">
        <v>69</v>
      </c>
      <c r="G193" s="133" t="s">
        <v>574</v>
      </c>
      <c r="H193" s="133" t="s">
        <v>109</v>
      </c>
      <c r="I193" s="164"/>
      <c r="J193" s="246"/>
      <c r="K193" s="236">
        <v>1734542.26</v>
      </c>
      <c r="L193" s="212"/>
      <c r="M193" s="236">
        <v>1744200</v>
      </c>
      <c r="N193" s="453">
        <f t="shared" si="3"/>
        <v>1744200</v>
      </c>
      <c r="O193" s="476">
        <v>1734542.26</v>
      </c>
    </row>
    <row r="194" spans="1:15" ht="65.25" customHeight="1">
      <c r="A194" s="69" t="s">
        <v>1483</v>
      </c>
      <c r="B194" s="22" t="s">
        <v>131</v>
      </c>
      <c r="C194" s="22" t="s">
        <v>238</v>
      </c>
      <c r="D194" s="22" t="s">
        <v>230</v>
      </c>
      <c r="E194" s="22" t="s">
        <v>60</v>
      </c>
      <c r="F194" s="22" t="s">
        <v>69</v>
      </c>
      <c r="G194" s="133" t="s">
        <v>1470</v>
      </c>
      <c r="H194" s="22" t="s">
        <v>109</v>
      </c>
      <c r="I194" s="86"/>
      <c r="J194" s="162">
        <v>-429233.33</v>
      </c>
      <c r="K194" s="162">
        <v>536540.41</v>
      </c>
      <c r="L194" s="201"/>
      <c r="M194" s="236"/>
      <c r="N194" s="442"/>
      <c r="O194" s="440">
        <v>965773.74</v>
      </c>
    </row>
    <row r="195" spans="1:15" ht="93.75" customHeight="1">
      <c r="A195" s="69" t="s">
        <v>696</v>
      </c>
      <c r="B195" s="22" t="s">
        <v>131</v>
      </c>
      <c r="C195" s="22" t="s">
        <v>238</v>
      </c>
      <c r="D195" s="22">
        <v>11</v>
      </c>
      <c r="E195" s="22" t="s">
        <v>68</v>
      </c>
      <c r="F195" s="22" t="s">
        <v>69</v>
      </c>
      <c r="G195" s="133" t="s">
        <v>528</v>
      </c>
      <c r="H195" s="22" t="s">
        <v>109</v>
      </c>
      <c r="I195" s="86"/>
      <c r="J195" s="162"/>
      <c r="K195" s="236">
        <v>350000</v>
      </c>
      <c r="L195" s="201"/>
      <c r="M195" s="236">
        <v>350000</v>
      </c>
      <c r="N195" s="442">
        <f t="shared" si="3"/>
        <v>350000</v>
      </c>
      <c r="O195" s="440">
        <v>350000</v>
      </c>
    </row>
    <row r="196" spans="1:15" ht="98.25" customHeight="1">
      <c r="A196" s="225" t="s">
        <v>993</v>
      </c>
      <c r="B196" s="21" t="s">
        <v>131</v>
      </c>
      <c r="C196" s="21" t="s">
        <v>238</v>
      </c>
      <c r="D196" s="21" t="s">
        <v>230</v>
      </c>
      <c r="E196" s="21" t="s">
        <v>60</v>
      </c>
      <c r="F196" s="21" t="s">
        <v>69</v>
      </c>
      <c r="G196" s="133" t="s">
        <v>994</v>
      </c>
      <c r="H196" s="21" t="s">
        <v>109</v>
      </c>
      <c r="I196" s="85"/>
      <c r="J196" s="165"/>
      <c r="K196" s="236"/>
      <c r="L196" s="201"/>
      <c r="M196" s="236"/>
      <c r="N196" s="442">
        <f t="shared" si="3"/>
        <v>0</v>
      </c>
      <c r="O196" s="440"/>
    </row>
    <row r="197" spans="1:15" ht="15.75">
      <c r="A197" s="452" t="s">
        <v>294</v>
      </c>
      <c r="B197" s="20" t="s">
        <v>131</v>
      </c>
      <c r="C197" s="20" t="s">
        <v>238</v>
      </c>
      <c r="D197" s="20"/>
      <c r="E197" s="20"/>
      <c r="F197" s="20"/>
      <c r="G197" s="20"/>
      <c r="H197" s="20"/>
      <c r="I197" s="71">
        <f>SUM(I198:I202)</f>
        <v>-745</v>
      </c>
      <c r="J197" s="71">
        <f>SUM(J198:J204)+J213</f>
        <v>208303.49999999997</v>
      </c>
      <c r="K197" s="71">
        <f>SUM(K198:K204)+K213</f>
        <v>20285286.450000003</v>
      </c>
      <c r="L197" s="71">
        <f>SUM(L198:L204)</f>
        <v>2027057.76</v>
      </c>
      <c r="M197" s="71">
        <f>SUM(M198:M204)</f>
        <v>19562700.25</v>
      </c>
      <c r="N197" s="442">
        <f t="shared" si="3"/>
        <v>19771003.75</v>
      </c>
      <c r="O197" s="440">
        <v>19803844.950000003</v>
      </c>
    </row>
    <row r="198" spans="1:15" ht="97.5" customHeight="1">
      <c r="A198" s="63" t="s">
        <v>529</v>
      </c>
      <c r="B198" s="22" t="s">
        <v>131</v>
      </c>
      <c r="C198" s="22" t="s">
        <v>238</v>
      </c>
      <c r="D198" s="22" t="s">
        <v>230</v>
      </c>
      <c r="E198" s="22" t="s">
        <v>60</v>
      </c>
      <c r="F198" s="22" t="s">
        <v>69</v>
      </c>
      <c r="G198" s="133" t="s">
        <v>530</v>
      </c>
      <c r="H198" s="22" t="s">
        <v>163</v>
      </c>
      <c r="I198" s="86"/>
      <c r="J198" s="246"/>
      <c r="K198" s="236">
        <v>7632675.6</v>
      </c>
      <c r="L198" s="201">
        <v>2027057.76</v>
      </c>
      <c r="M198" s="236">
        <f>5582697.84+2027057.76</f>
        <v>7609755.6</v>
      </c>
      <c r="N198" s="442">
        <f t="shared" si="3"/>
        <v>7609755.6</v>
      </c>
      <c r="O198" s="440">
        <v>7632675.6</v>
      </c>
    </row>
    <row r="199" spans="1:15" ht="51" customHeight="1">
      <c r="A199" s="63" t="s">
        <v>603</v>
      </c>
      <c r="B199" s="22" t="s">
        <v>131</v>
      </c>
      <c r="C199" s="22" t="s">
        <v>238</v>
      </c>
      <c r="D199" s="22" t="s">
        <v>230</v>
      </c>
      <c r="E199" s="22" t="s">
        <v>60</v>
      </c>
      <c r="F199" s="22" t="s">
        <v>69</v>
      </c>
      <c r="G199" s="133" t="s">
        <v>530</v>
      </c>
      <c r="H199" s="22" t="s">
        <v>164</v>
      </c>
      <c r="I199" s="86">
        <v>-745</v>
      </c>
      <c r="J199" s="246">
        <v>988.45</v>
      </c>
      <c r="K199" s="236">
        <v>10242135.18</v>
      </c>
      <c r="L199" s="201"/>
      <c r="M199" s="236">
        <v>9971008.73</v>
      </c>
      <c r="N199" s="442">
        <f t="shared" si="3"/>
        <v>9971997.18</v>
      </c>
      <c r="O199" s="440">
        <v>9968008.73</v>
      </c>
    </row>
    <row r="200" spans="1:15" ht="37.5" customHeight="1">
      <c r="A200" s="63" t="s">
        <v>445</v>
      </c>
      <c r="B200" s="22" t="s">
        <v>131</v>
      </c>
      <c r="C200" s="22" t="s">
        <v>238</v>
      </c>
      <c r="D200" s="22" t="s">
        <v>230</v>
      </c>
      <c r="E200" s="22" t="s">
        <v>60</v>
      </c>
      <c r="F200" s="22" t="s">
        <v>69</v>
      </c>
      <c r="G200" s="133" t="s">
        <v>530</v>
      </c>
      <c r="H200" s="22" t="s">
        <v>165</v>
      </c>
      <c r="I200" s="86"/>
      <c r="J200" s="246"/>
      <c r="K200" s="236">
        <v>232935.92</v>
      </c>
      <c r="L200" s="201"/>
      <c r="M200" s="236">
        <v>202935.92</v>
      </c>
      <c r="N200" s="442">
        <f t="shared" si="3"/>
        <v>202935.92</v>
      </c>
      <c r="O200" s="440">
        <v>232935.92</v>
      </c>
    </row>
    <row r="201" spans="1:15" ht="67.5" customHeight="1">
      <c r="A201" s="69" t="s">
        <v>1484</v>
      </c>
      <c r="B201" s="22" t="s">
        <v>131</v>
      </c>
      <c r="C201" s="22" t="s">
        <v>238</v>
      </c>
      <c r="D201" s="22" t="s">
        <v>230</v>
      </c>
      <c r="E201" s="22" t="s">
        <v>60</v>
      </c>
      <c r="F201" s="22" t="s">
        <v>69</v>
      </c>
      <c r="G201" s="133" t="s">
        <v>1470</v>
      </c>
      <c r="H201" s="22" t="s">
        <v>164</v>
      </c>
      <c r="I201" s="86"/>
      <c r="J201" s="246">
        <v>-121887.67</v>
      </c>
      <c r="K201" s="162">
        <v>71268.59</v>
      </c>
      <c r="L201" s="201"/>
      <c r="M201" s="236"/>
      <c r="N201" s="442"/>
      <c r="O201" s="440">
        <v>193156.26</v>
      </c>
    </row>
    <row r="202" spans="1:15" ht="63">
      <c r="A202" s="154" t="s">
        <v>604</v>
      </c>
      <c r="B202" s="22" t="s">
        <v>131</v>
      </c>
      <c r="C202" s="22" t="s">
        <v>238</v>
      </c>
      <c r="D202" s="22" t="s">
        <v>230</v>
      </c>
      <c r="E202" s="22" t="s">
        <v>60</v>
      </c>
      <c r="F202" s="22" t="s">
        <v>69</v>
      </c>
      <c r="G202" s="133" t="s">
        <v>575</v>
      </c>
      <c r="H202" s="22" t="s">
        <v>164</v>
      </c>
      <c r="I202" s="86"/>
      <c r="J202" s="246"/>
      <c r="K202" s="236">
        <v>321068.44</v>
      </c>
      <c r="L202" s="201"/>
      <c r="M202" s="236">
        <v>323000</v>
      </c>
      <c r="N202" s="442">
        <f t="shared" si="3"/>
        <v>323000</v>
      </c>
      <c r="O202" s="440">
        <v>321068.44</v>
      </c>
    </row>
    <row r="203" spans="1:15" ht="115.5" customHeight="1">
      <c r="A203" s="69" t="s">
        <v>743</v>
      </c>
      <c r="B203" s="22" t="s">
        <v>131</v>
      </c>
      <c r="C203" s="22" t="s">
        <v>238</v>
      </c>
      <c r="D203" s="22">
        <v>11</v>
      </c>
      <c r="E203" s="22" t="s">
        <v>68</v>
      </c>
      <c r="F203" s="22" t="s">
        <v>69</v>
      </c>
      <c r="G203" s="133" t="s">
        <v>697</v>
      </c>
      <c r="H203" s="22" t="s">
        <v>163</v>
      </c>
      <c r="I203" s="86"/>
      <c r="J203" s="246"/>
      <c r="K203" s="135">
        <v>56000</v>
      </c>
      <c r="L203" s="201"/>
      <c r="M203" s="135">
        <v>56000</v>
      </c>
      <c r="N203" s="442">
        <f t="shared" si="3"/>
        <v>56000</v>
      </c>
      <c r="O203" s="440">
        <v>56000</v>
      </c>
    </row>
    <row r="204" spans="1:15" ht="65.25" customHeight="1">
      <c r="A204" s="69" t="s">
        <v>605</v>
      </c>
      <c r="B204" s="22" t="s">
        <v>131</v>
      </c>
      <c r="C204" s="22" t="s">
        <v>238</v>
      </c>
      <c r="D204" s="22" t="s">
        <v>230</v>
      </c>
      <c r="E204" s="22" t="s">
        <v>60</v>
      </c>
      <c r="F204" s="22" t="s">
        <v>69</v>
      </c>
      <c r="G204" s="133" t="s">
        <v>531</v>
      </c>
      <c r="H204" s="22" t="s">
        <v>164</v>
      </c>
      <c r="I204" s="86">
        <v>745</v>
      </c>
      <c r="J204" s="246"/>
      <c r="K204" s="236">
        <v>1400000</v>
      </c>
      <c r="L204" s="201"/>
      <c r="M204" s="236">
        <v>1400000</v>
      </c>
      <c r="N204" s="442">
        <f t="shared" si="3"/>
        <v>1400000</v>
      </c>
      <c r="O204" s="440">
        <v>1400000</v>
      </c>
    </row>
    <row r="205" spans="1:15" ht="97.5" customHeight="1">
      <c r="A205" s="63" t="s">
        <v>727</v>
      </c>
      <c r="B205" s="22" t="s">
        <v>131</v>
      </c>
      <c r="C205" s="22" t="s">
        <v>238</v>
      </c>
      <c r="D205" s="22" t="s">
        <v>230</v>
      </c>
      <c r="E205" s="22" t="s">
        <v>60</v>
      </c>
      <c r="F205" s="22" t="s">
        <v>69</v>
      </c>
      <c r="G205" s="133" t="s">
        <v>532</v>
      </c>
      <c r="H205" s="22" t="s">
        <v>164</v>
      </c>
      <c r="I205" s="86"/>
      <c r="J205" s="162"/>
      <c r="K205" s="236">
        <v>36345</v>
      </c>
      <c r="L205" s="201"/>
      <c r="M205" s="236">
        <v>36345</v>
      </c>
      <c r="N205" s="442">
        <f t="shared" si="3"/>
        <v>36345</v>
      </c>
      <c r="O205" s="440">
        <v>36345</v>
      </c>
    </row>
    <row r="206" spans="1:15" ht="239.25" customHeight="1">
      <c r="A206" s="69" t="s">
        <v>728</v>
      </c>
      <c r="B206" s="22" t="s">
        <v>131</v>
      </c>
      <c r="C206" s="22" t="s">
        <v>238</v>
      </c>
      <c r="D206" s="22" t="s">
        <v>230</v>
      </c>
      <c r="E206" s="22" t="s">
        <v>60</v>
      </c>
      <c r="F206" s="22" t="s">
        <v>69</v>
      </c>
      <c r="G206" s="133" t="s">
        <v>533</v>
      </c>
      <c r="H206" s="22" t="s">
        <v>163</v>
      </c>
      <c r="I206" s="86"/>
      <c r="J206" s="162"/>
      <c r="K206" s="193">
        <v>14601095.5</v>
      </c>
      <c r="L206" s="201"/>
      <c r="M206" s="193">
        <v>14477914.25</v>
      </c>
      <c r="N206" s="442">
        <f t="shared" si="3"/>
        <v>14477914.25</v>
      </c>
      <c r="O206" s="440">
        <v>14601095.5</v>
      </c>
    </row>
    <row r="207" spans="1:15" ht="92.25" customHeight="1">
      <c r="A207" s="69" t="s">
        <v>729</v>
      </c>
      <c r="B207" s="22" t="s">
        <v>131</v>
      </c>
      <c r="C207" s="22" t="s">
        <v>238</v>
      </c>
      <c r="D207" s="22" t="s">
        <v>230</v>
      </c>
      <c r="E207" s="22" t="s">
        <v>60</v>
      </c>
      <c r="F207" s="22" t="s">
        <v>69</v>
      </c>
      <c r="G207" s="133" t="s">
        <v>533</v>
      </c>
      <c r="H207" s="22" t="s">
        <v>164</v>
      </c>
      <c r="I207" s="86"/>
      <c r="J207" s="162"/>
      <c r="K207" s="193">
        <v>209937</v>
      </c>
      <c r="L207" s="201"/>
      <c r="M207" s="193">
        <v>209837</v>
      </c>
      <c r="N207" s="442">
        <f t="shared" si="3"/>
        <v>209837</v>
      </c>
      <c r="O207" s="440">
        <v>209937</v>
      </c>
    </row>
    <row r="208" spans="1:15" ht="94.5" customHeight="1">
      <c r="A208" s="69" t="s">
        <v>730</v>
      </c>
      <c r="B208" s="22" t="s">
        <v>131</v>
      </c>
      <c r="C208" s="22" t="s">
        <v>238</v>
      </c>
      <c r="D208" s="22" t="s">
        <v>230</v>
      </c>
      <c r="E208" s="22" t="s">
        <v>60</v>
      </c>
      <c r="F208" s="22" t="s">
        <v>69</v>
      </c>
      <c r="G208" s="133" t="s">
        <v>533</v>
      </c>
      <c r="H208" s="22" t="s">
        <v>109</v>
      </c>
      <c r="I208" s="86"/>
      <c r="J208" s="162"/>
      <c r="K208" s="193">
        <v>58758703</v>
      </c>
      <c r="L208" s="201"/>
      <c r="M208" s="193">
        <v>58335810.25</v>
      </c>
      <c r="N208" s="442">
        <f t="shared" si="3"/>
        <v>58335810.25</v>
      </c>
      <c r="O208" s="440">
        <v>58758703</v>
      </c>
    </row>
    <row r="209" spans="1:15" ht="174.75" customHeight="1">
      <c r="A209" s="154" t="s">
        <v>1573</v>
      </c>
      <c r="B209" s="22" t="s">
        <v>131</v>
      </c>
      <c r="C209" s="22" t="s">
        <v>238</v>
      </c>
      <c r="D209" s="22" t="s">
        <v>230</v>
      </c>
      <c r="E209" s="22" t="s">
        <v>60</v>
      </c>
      <c r="F209" s="22" t="s">
        <v>69</v>
      </c>
      <c r="G209" s="22" t="s">
        <v>1574</v>
      </c>
      <c r="H209" s="22" t="s">
        <v>163</v>
      </c>
      <c r="I209" s="86"/>
      <c r="J209" s="162"/>
      <c r="K209" s="204">
        <v>468720</v>
      </c>
      <c r="L209" s="201"/>
      <c r="M209" s="193"/>
      <c r="N209" s="442"/>
      <c r="O209" s="440"/>
    </row>
    <row r="210" spans="1:15" ht="145.5" customHeight="1">
      <c r="A210" s="154" t="s">
        <v>1575</v>
      </c>
      <c r="B210" s="22" t="s">
        <v>131</v>
      </c>
      <c r="C210" s="22" t="s">
        <v>238</v>
      </c>
      <c r="D210" s="22" t="s">
        <v>230</v>
      </c>
      <c r="E210" s="22" t="s">
        <v>60</v>
      </c>
      <c r="F210" s="22" t="s">
        <v>69</v>
      </c>
      <c r="G210" s="22" t="s">
        <v>1574</v>
      </c>
      <c r="H210" s="22" t="s">
        <v>109</v>
      </c>
      <c r="I210" s="86"/>
      <c r="J210" s="162"/>
      <c r="K210" s="204">
        <v>1614480</v>
      </c>
      <c r="L210" s="201"/>
      <c r="M210" s="193"/>
      <c r="N210" s="442"/>
      <c r="O210" s="440"/>
    </row>
    <row r="211" spans="1:15" ht="78.75">
      <c r="A211" s="69" t="s">
        <v>1513</v>
      </c>
      <c r="B211" s="22" t="s">
        <v>131</v>
      </c>
      <c r="C211" s="22" t="s">
        <v>238</v>
      </c>
      <c r="D211" s="22" t="s">
        <v>230</v>
      </c>
      <c r="E211" s="22" t="s">
        <v>60</v>
      </c>
      <c r="F211" s="22" t="s">
        <v>1233</v>
      </c>
      <c r="G211" s="133" t="s">
        <v>1234</v>
      </c>
      <c r="H211" s="22" t="s">
        <v>109</v>
      </c>
      <c r="I211" s="86"/>
      <c r="J211" s="162"/>
      <c r="K211" s="236">
        <v>2261214.4000000004</v>
      </c>
      <c r="L211" s="201"/>
      <c r="M211" s="236"/>
      <c r="N211" s="442">
        <f t="shared" si="3"/>
        <v>0</v>
      </c>
      <c r="O211" s="200">
        <v>2261214.4000000004</v>
      </c>
    </row>
    <row r="212" spans="1:15" ht="97.5" customHeight="1">
      <c r="A212" s="479" t="s">
        <v>1482</v>
      </c>
      <c r="B212" s="22" t="s">
        <v>131</v>
      </c>
      <c r="C212" s="22" t="s">
        <v>238</v>
      </c>
      <c r="D212" s="22" t="s">
        <v>230</v>
      </c>
      <c r="E212" s="22" t="s">
        <v>60</v>
      </c>
      <c r="F212" s="22" t="s">
        <v>69</v>
      </c>
      <c r="G212" s="133" t="s">
        <v>1473</v>
      </c>
      <c r="H212" s="22" t="s">
        <v>109</v>
      </c>
      <c r="I212" s="86"/>
      <c r="J212" s="236"/>
      <c r="K212" s="236">
        <v>277387.8</v>
      </c>
      <c r="L212" s="201"/>
      <c r="M212" s="236"/>
      <c r="N212" s="442"/>
      <c r="O212" s="200">
        <v>277387.8</v>
      </c>
    </row>
    <row r="213" spans="1:15" ht="86.25" customHeight="1">
      <c r="A213" s="517" t="s">
        <v>1615</v>
      </c>
      <c r="B213" s="133" t="s">
        <v>131</v>
      </c>
      <c r="C213" s="133" t="s">
        <v>238</v>
      </c>
      <c r="D213" s="133" t="s">
        <v>230</v>
      </c>
      <c r="E213" s="133" t="s">
        <v>60</v>
      </c>
      <c r="F213" s="133" t="s">
        <v>69</v>
      </c>
      <c r="G213" s="133" t="s">
        <v>1614</v>
      </c>
      <c r="H213" s="133" t="s">
        <v>164</v>
      </c>
      <c r="I213" s="164"/>
      <c r="J213" s="236">
        <v>329202.72</v>
      </c>
      <c r="K213" s="236">
        <v>329202.72</v>
      </c>
      <c r="L213" s="201"/>
      <c r="M213" s="236"/>
      <c r="N213" s="442"/>
      <c r="O213" s="200"/>
    </row>
    <row r="214" spans="1:15" ht="97.5" customHeight="1">
      <c r="A214" s="517" t="s">
        <v>1617</v>
      </c>
      <c r="B214" s="133" t="s">
        <v>131</v>
      </c>
      <c r="C214" s="133" t="s">
        <v>238</v>
      </c>
      <c r="D214" s="133" t="s">
        <v>230</v>
      </c>
      <c r="E214" s="133" t="s">
        <v>60</v>
      </c>
      <c r="F214" s="133" t="s">
        <v>69</v>
      </c>
      <c r="G214" s="133" t="s">
        <v>1614</v>
      </c>
      <c r="H214" s="133" t="s">
        <v>109</v>
      </c>
      <c r="I214" s="164"/>
      <c r="J214" s="236">
        <v>2073549.6</v>
      </c>
      <c r="K214" s="236">
        <v>2073549.6</v>
      </c>
      <c r="L214" s="201"/>
      <c r="M214" s="236"/>
      <c r="N214" s="442"/>
      <c r="O214" s="200"/>
    </row>
    <row r="215" spans="1:15" ht="97.5" customHeight="1">
      <c r="A215" s="479" t="s">
        <v>1482</v>
      </c>
      <c r="B215" s="22" t="s">
        <v>131</v>
      </c>
      <c r="C215" s="22" t="s">
        <v>238</v>
      </c>
      <c r="D215" s="22" t="s">
        <v>527</v>
      </c>
      <c r="E215" s="22" t="s">
        <v>118</v>
      </c>
      <c r="F215" s="22" t="s">
        <v>498</v>
      </c>
      <c r="G215" s="133" t="s">
        <v>1473</v>
      </c>
      <c r="H215" s="22" t="s">
        <v>109</v>
      </c>
      <c r="I215" s="86"/>
      <c r="J215" s="162"/>
      <c r="K215" s="236">
        <v>0</v>
      </c>
      <c r="L215" s="201"/>
      <c r="M215" s="236"/>
      <c r="N215" s="442"/>
      <c r="O215" s="256">
        <v>0</v>
      </c>
    </row>
    <row r="216" spans="1:15" ht="189.75" customHeight="1">
      <c r="A216" s="69" t="s">
        <v>478</v>
      </c>
      <c r="B216" s="22" t="s">
        <v>131</v>
      </c>
      <c r="C216" s="22" t="s">
        <v>238</v>
      </c>
      <c r="D216" s="22" t="s">
        <v>162</v>
      </c>
      <c r="E216" s="22" t="s">
        <v>118</v>
      </c>
      <c r="F216" s="22" t="s">
        <v>498</v>
      </c>
      <c r="G216" s="133" t="s">
        <v>534</v>
      </c>
      <c r="H216" s="22" t="s">
        <v>109</v>
      </c>
      <c r="I216" s="86"/>
      <c r="J216" s="162"/>
      <c r="K216" s="236">
        <v>6044183</v>
      </c>
      <c r="L216" s="201"/>
      <c r="M216" s="236">
        <v>6000642.75</v>
      </c>
      <c r="N216" s="442">
        <f aca="true" t="shared" si="4" ref="N216:N277">M216+J216</f>
        <v>6000642.75</v>
      </c>
      <c r="O216" s="440">
        <v>6044183</v>
      </c>
    </row>
    <row r="217" spans="1:15" ht="16.5" customHeight="1">
      <c r="A217" s="152" t="s">
        <v>724</v>
      </c>
      <c r="B217" s="23" t="s">
        <v>131</v>
      </c>
      <c r="C217" s="23" t="s">
        <v>723</v>
      </c>
      <c r="D217" s="23"/>
      <c r="E217" s="23"/>
      <c r="F217" s="23"/>
      <c r="G217" s="23"/>
      <c r="H217" s="23"/>
      <c r="I217" s="87" t="e">
        <f>I218+#REF!+I220</f>
        <v>#REF!</v>
      </c>
      <c r="J217" s="435">
        <f>SUM(J218:J225)</f>
        <v>0</v>
      </c>
      <c r="K217" s="94">
        <f>SUM(K218:K225)</f>
        <v>6119161.32</v>
      </c>
      <c r="L217" s="94">
        <f>SUM(L218:L225)</f>
        <v>401435.24</v>
      </c>
      <c r="M217" s="94">
        <f>SUM(M218:M225)</f>
        <v>6064891.319999999</v>
      </c>
      <c r="N217" s="442">
        <f t="shared" si="4"/>
        <v>6064891.319999999</v>
      </c>
      <c r="O217" s="440">
        <v>6064891.32</v>
      </c>
    </row>
    <row r="218" spans="1:15" ht="77.25" customHeight="1">
      <c r="A218" s="154" t="s">
        <v>535</v>
      </c>
      <c r="B218" s="22" t="s">
        <v>131</v>
      </c>
      <c r="C218" s="22" t="s">
        <v>723</v>
      </c>
      <c r="D218" s="22" t="s">
        <v>230</v>
      </c>
      <c r="E218" s="22" t="s">
        <v>232</v>
      </c>
      <c r="F218" s="22" t="s">
        <v>69</v>
      </c>
      <c r="G218" s="22" t="s">
        <v>536</v>
      </c>
      <c r="H218" s="22" t="s">
        <v>109</v>
      </c>
      <c r="I218" s="86"/>
      <c r="J218" s="162"/>
      <c r="K218" s="204">
        <v>5390571.75</v>
      </c>
      <c r="L218" s="201">
        <v>401435.24</v>
      </c>
      <c r="M218" s="193">
        <v>5300230.89</v>
      </c>
      <c r="N218" s="442">
        <f t="shared" si="4"/>
        <v>5300230.89</v>
      </c>
      <c r="O218" s="193">
        <v>5298962.75</v>
      </c>
    </row>
    <row r="219" spans="1:15" ht="97.5" customHeight="1">
      <c r="A219" s="69" t="s">
        <v>864</v>
      </c>
      <c r="B219" s="22" t="s">
        <v>131</v>
      </c>
      <c r="C219" s="22" t="s">
        <v>723</v>
      </c>
      <c r="D219" s="22" t="s">
        <v>230</v>
      </c>
      <c r="E219" s="22" t="s">
        <v>232</v>
      </c>
      <c r="F219" s="22" t="s">
        <v>69</v>
      </c>
      <c r="G219" s="133" t="s">
        <v>866</v>
      </c>
      <c r="H219" s="22" t="s">
        <v>109</v>
      </c>
      <c r="I219" s="86"/>
      <c r="J219" s="162"/>
      <c r="K219" s="193">
        <v>7532.740000000001</v>
      </c>
      <c r="L219" s="201"/>
      <c r="M219" s="193">
        <v>6264.6</v>
      </c>
      <c r="N219" s="442">
        <f t="shared" si="4"/>
        <v>6264.6</v>
      </c>
      <c r="O219" s="193">
        <v>7532.740000000001</v>
      </c>
    </row>
    <row r="220" spans="1:15" ht="110.25">
      <c r="A220" s="69" t="s">
        <v>722</v>
      </c>
      <c r="B220" s="22" t="s">
        <v>131</v>
      </c>
      <c r="C220" s="22" t="s">
        <v>723</v>
      </c>
      <c r="D220" s="22" t="s">
        <v>230</v>
      </c>
      <c r="E220" s="22" t="s">
        <v>232</v>
      </c>
      <c r="F220" s="22" t="s">
        <v>69</v>
      </c>
      <c r="G220" s="133" t="s">
        <v>537</v>
      </c>
      <c r="H220" s="22" t="s">
        <v>109</v>
      </c>
      <c r="I220" s="86"/>
      <c r="J220" s="162"/>
      <c r="K220" s="236">
        <v>620195.83</v>
      </c>
      <c r="L220" s="201"/>
      <c r="M220" s="236">
        <v>620195.83</v>
      </c>
      <c r="N220" s="442">
        <f t="shared" si="4"/>
        <v>620195.83</v>
      </c>
      <c r="O220" s="440">
        <v>620195.83</v>
      </c>
    </row>
    <row r="221" spans="1:15" ht="78" customHeight="1">
      <c r="A221" s="69" t="s">
        <v>1168</v>
      </c>
      <c r="B221" s="22" t="s">
        <v>131</v>
      </c>
      <c r="C221" s="22" t="s">
        <v>723</v>
      </c>
      <c r="D221" s="22" t="s">
        <v>230</v>
      </c>
      <c r="E221" s="22" t="s">
        <v>232</v>
      </c>
      <c r="F221" s="22" t="s">
        <v>69</v>
      </c>
      <c r="G221" s="133" t="s">
        <v>1169</v>
      </c>
      <c r="H221" s="22" t="s">
        <v>109</v>
      </c>
      <c r="I221" s="86"/>
      <c r="J221" s="162"/>
      <c r="K221" s="162">
        <v>54270</v>
      </c>
      <c r="L221" s="201"/>
      <c r="M221" s="236"/>
      <c r="N221" s="442">
        <f t="shared" si="4"/>
        <v>0</v>
      </c>
      <c r="O221" s="440"/>
    </row>
    <row r="222" spans="1:15" ht="77.25" customHeight="1">
      <c r="A222" s="509" t="s">
        <v>1194</v>
      </c>
      <c r="B222" s="22" t="s">
        <v>131</v>
      </c>
      <c r="C222" s="22" t="s">
        <v>723</v>
      </c>
      <c r="D222" s="22" t="s">
        <v>230</v>
      </c>
      <c r="E222" s="22" t="s">
        <v>232</v>
      </c>
      <c r="F222" s="22" t="s">
        <v>69</v>
      </c>
      <c r="G222" s="22" t="s">
        <v>1179</v>
      </c>
      <c r="H222" s="22" t="s">
        <v>109</v>
      </c>
      <c r="I222" s="86"/>
      <c r="J222" s="162"/>
      <c r="K222" s="162">
        <v>46591</v>
      </c>
      <c r="L222" s="201"/>
      <c r="M222" s="236"/>
      <c r="N222" s="442">
        <f t="shared" si="4"/>
        <v>0</v>
      </c>
      <c r="O222" s="440"/>
    </row>
    <row r="223" spans="1:15" ht="98.25" customHeight="1">
      <c r="A223" s="161" t="s">
        <v>1195</v>
      </c>
      <c r="B223" s="22" t="s">
        <v>131</v>
      </c>
      <c r="C223" s="22" t="s">
        <v>723</v>
      </c>
      <c r="D223" s="22" t="s">
        <v>230</v>
      </c>
      <c r="E223" s="22" t="s">
        <v>232</v>
      </c>
      <c r="F223" s="22" t="s">
        <v>69</v>
      </c>
      <c r="G223" s="133" t="s">
        <v>1180</v>
      </c>
      <c r="H223" s="22" t="s">
        <v>109</v>
      </c>
      <c r="I223" s="86"/>
      <c r="J223" s="162"/>
      <c r="K223" s="236"/>
      <c r="L223" s="201"/>
      <c r="M223" s="236"/>
      <c r="N223" s="442">
        <f t="shared" si="4"/>
        <v>0</v>
      </c>
      <c r="O223" s="440"/>
    </row>
    <row r="224" spans="1:15" ht="48" customHeight="1">
      <c r="A224" s="509" t="s">
        <v>1437</v>
      </c>
      <c r="B224" s="67">
        <v>909</v>
      </c>
      <c r="C224" s="68" t="s">
        <v>723</v>
      </c>
      <c r="D224" s="68" t="s">
        <v>230</v>
      </c>
      <c r="E224" s="68" t="s">
        <v>232</v>
      </c>
      <c r="F224" s="68" t="s">
        <v>69</v>
      </c>
      <c r="G224" s="68" t="s">
        <v>1324</v>
      </c>
      <c r="H224" s="68" t="s">
        <v>109</v>
      </c>
      <c r="I224" s="90"/>
      <c r="J224" s="162"/>
      <c r="K224" s="156">
        <v>0</v>
      </c>
      <c r="L224" s="201"/>
      <c r="M224" s="251">
        <v>138200</v>
      </c>
      <c r="N224" s="442">
        <f t="shared" si="4"/>
        <v>138200</v>
      </c>
      <c r="O224" s="440">
        <v>138200</v>
      </c>
    </row>
    <row r="225" spans="1:15" ht="65.25" customHeight="1">
      <c r="A225" s="161" t="s">
        <v>1196</v>
      </c>
      <c r="B225" s="22" t="s">
        <v>131</v>
      </c>
      <c r="C225" s="22" t="s">
        <v>723</v>
      </c>
      <c r="D225" s="22" t="s">
        <v>230</v>
      </c>
      <c r="E225" s="22" t="s">
        <v>232</v>
      </c>
      <c r="F225" s="22" t="s">
        <v>69</v>
      </c>
      <c r="G225" s="133" t="s">
        <v>1181</v>
      </c>
      <c r="H225" s="22" t="s">
        <v>109</v>
      </c>
      <c r="I225" s="86"/>
      <c r="J225" s="246"/>
      <c r="K225" s="236"/>
      <c r="L225" s="201"/>
      <c r="M225" s="236"/>
      <c r="N225" s="442">
        <f t="shared" si="4"/>
        <v>0</v>
      </c>
      <c r="O225" s="440"/>
    </row>
    <row r="226" spans="1:15" ht="15.75">
      <c r="A226" s="244" t="s">
        <v>139</v>
      </c>
      <c r="B226" s="23" t="s">
        <v>131</v>
      </c>
      <c r="C226" s="23" t="s">
        <v>140</v>
      </c>
      <c r="D226" s="23"/>
      <c r="E226" s="23"/>
      <c r="F226" s="23"/>
      <c r="G226" s="23"/>
      <c r="H226" s="23"/>
      <c r="I226" s="24">
        <f>SUM(I227:I230)</f>
        <v>0</v>
      </c>
      <c r="J226" s="277">
        <f>SUM(J227:J234)</f>
        <v>0</v>
      </c>
      <c r="K226" s="24">
        <f>SUM(K227:K234)</f>
        <v>579348</v>
      </c>
      <c r="L226" s="201"/>
      <c r="M226" s="24">
        <f>SUM(M227:M230)</f>
        <v>527500</v>
      </c>
      <c r="N226" s="442">
        <f t="shared" si="4"/>
        <v>527500</v>
      </c>
      <c r="O226" s="440">
        <v>579348</v>
      </c>
    </row>
    <row r="227" spans="1:15" ht="63" customHeight="1" hidden="1">
      <c r="A227" s="69" t="s">
        <v>607</v>
      </c>
      <c r="B227" s="67">
        <v>909</v>
      </c>
      <c r="C227" s="68" t="s">
        <v>140</v>
      </c>
      <c r="D227" s="68">
        <v>11</v>
      </c>
      <c r="E227" s="68" t="s">
        <v>68</v>
      </c>
      <c r="F227" s="68" t="s">
        <v>69</v>
      </c>
      <c r="G227" s="248" t="s">
        <v>744</v>
      </c>
      <c r="H227" s="68" t="s">
        <v>164</v>
      </c>
      <c r="I227" s="91"/>
      <c r="J227" s="162"/>
      <c r="K227" s="251">
        <v>0</v>
      </c>
      <c r="L227" s="201"/>
      <c r="M227" s="510">
        <v>65500</v>
      </c>
      <c r="N227" s="442">
        <f t="shared" si="4"/>
        <v>65500</v>
      </c>
      <c r="O227" s="440">
        <v>0</v>
      </c>
    </row>
    <row r="228" spans="1:15" ht="63" hidden="1">
      <c r="A228" s="69" t="s">
        <v>607</v>
      </c>
      <c r="B228" s="67">
        <v>909</v>
      </c>
      <c r="C228" s="68" t="s">
        <v>140</v>
      </c>
      <c r="D228" s="68">
        <v>11</v>
      </c>
      <c r="E228" s="68" t="s">
        <v>68</v>
      </c>
      <c r="F228" s="68" t="s">
        <v>69</v>
      </c>
      <c r="G228" s="248" t="s">
        <v>744</v>
      </c>
      <c r="H228" s="68" t="s">
        <v>164</v>
      </c>
      <c r="I228" s="91"/>
      <c r="J228" s="165"/>
      <c r="K228" s="236">
        <v>0</v>
      </c>
      <c r="L228" s="201"/>
      <c r="M228" s="236">
        <v>57750</v>
      </c>
      <c r="N228" s="442">
        <f t="shared" si="4"/>
        <v>57750</v>
      </c>
      <c r="O228" s="440">
        <v>0</v>
      </c>
    </row>
    <row r="229" spans="1:15" ht="78.75" hidden="1">
      <c r="A229" s="223" t="s">
        <v>1486</v>
      </c>
      <c r="B229" s="67">
        <v>909</v>
      </c>
      <c r="C229" s="68" t="s">
        <v>140</v>
      </c>
      <c r="D229" s="68">
        <v>11</v>
      </c>
      <c r="E229" s="68" t="s">
        <v>68</v>
      </c>
      <c r="F229" s="68" t="s">
        <v>69</v>
      </c>
      <c r="G229" s="248" t="s">
        <v>744</v>
      </c>
      <c r="H229" s="68" t="s">
        <v>109</v>
      </c>
      <c r="I229" s="91"/>
      <c r="J229" s="165"/>
      <c r="K229" s="236">
        <v>0</v>
      </c>
      <c r="L229" s="201"/>
      <c r="M229" s="236">
        <v>358050</v>
      </c>
      <c r="N229" s="442">
        <f t="shared" si="4"/>
        <v>358050</v>
      </c>
      <c r="O229" s="440">
        <v>0</v>
      </c>
    </row>
    <row r="230" spans="1:15" ht="94.5" hidden="1">
      <c r="A230" s="63" t="s">
        <v>695</v>
      </c>
      <c r="B230" s="22" t="s">
        <v>131</v>
      </c>
      <c r="C230" s="22" t="s">
        <v>140</v>
      </c>
      <c r="D230" s="22">
        <v>11</v>
      </c>
      <c r="E230" s="22" t="s">
        <v>68</v>
      </c>
      <c r="F230" s="22" t="s">
        <v>69</v>
      </c>
      <c r="G230" s="133" t="s">
        <v>539</v>
      </c>
      <c r="H230" s="22" t="s">
        <v>109</v>
      </c>
      <c r="I230" s="86"/>
      <c r="J230" s="162"/>
      <c r="K230" s="236">
        <v>0</v>
      </c>
      <c r="L230" s="201"/>
      <c r="M230" s="236">
        <v>46200</v>
      </c>
      <c r="N230" s="442">
        <f t="shared" si="4"/>
        <v>46200</v>
      </c>
      <c r="O230" s="440">
        <v>0</v>
      </c>
    </row>
    <row r="231" spans="1:15" ht="63">
      <c r="A231" s="69" t="s">
        <v>607</v>
      </c>
      <c r="B231" s="67">
        <v>909</v>
      </c>
      <c r="C231" s="68" t="s">
        <v>140</v>
      </c>
      <c r="D231" s="68" t="s">
        <v>230</v>
      </c>
      <c r="E231" s="68" t="s">
        <v>60</v>
      </c>
      <c r="F231" s="68" t="s">
        <v>69</v>
      </c>
      <c r="G231" s="248" t="s">
        <v>744</v>
      </c>
      <c r="H231" s="68" t="s">
        <v>164</v>
      </c>
      <c r="I231" s="86"/>
      <c r="J231" s="162"/>
      <c r="K231" s="251">
        <v>71148</v>
      </c>
      <c r="L231" s="201"/>
      <c r="M231" s="236"/>
      <c r="N231" s="442"/>
      <c r="O231" s="440">
        <v>71148</v>
      </c>
    </row>
    <row r="232" spans="1:15" ht="66.75" customHeight="1">
      <c r="A232" s="154" t="s">
        <v>607</v>
      </c>
      <c r="B232" s="67">
        <v>909</v>
      </c>
      <c r="C232" s="68" t="s">
        <v>140</v>
      </c>
      <c r="D232" s="68" t="s">
        <v>230</v>
      </c>
      <c r="E232" s="68" t="s">
        <v>60</v>
      </c>
      <c r="F232" s="68" t="s">
        <v>69</v>
      </c>
      <c r="G232" s="68" t="s">
        <v>744</v>
      </c>
      <c r="H232" s="68" t="s">
        <v>164</v>
      </c>
      <c r="I232" s="86"/>
      <c r="J232" s="240"/>
      <c r="K232" s="240">
        <v>83160</v>
      </c>
      <c r="L232" s="201"/>
      <c r="M232" s="236"/>
      <c r="N232" s="442"/>
      <c r="O232" s="440">
        <v>63525</v>
      </c>
    </row>
    <row r="233" spans="1:15" ht="78.75">
      <c r="A233" s="154" t="s">
        <v>1486</v>
      </c>
      <c r="B233" s="67">
        <v>909</v>
      </c>
      <c r="C233" s="68" t="s">
        <v>140</v>
      </c>
      <c r="D233" s="68" t="s">
        <v>230</v>
      </c>
      <c r="E233" s="68" t="s">
        <v>60</v>
      </c>
      <c r="F233" s="68" t="s">
        <v>69</v>
      </c>
      <c r="G233" s="68" t="s">
        <v>744</v>
      </c>
      <c r="H233" s="68" t="s">
        <v>109</v>
      </c>
      <c r="I233" s="86"/>
      <c r="J233" s="240"/>
      <c r="K233" s="240">
        <v>374220</v>
      </c>
      <c r="L233" s="201"/>
      <c r="M233" s="236"/>
      <c r="N233" s="442"/>
      <c r="O233" s="440">
        <v>393855</v>
      </c>
    </row>
    <row r="234" spans="1:15" ht="94.5">
      <c r="A234" s="63" t="s">
        <v>695</v>
      </c>
      <c r="B234" s="22" t="s">
        <v>131</v>
      </c>
      <c r="C234" s="22" t="s">
        <v>140</v>
      </c>
      <c r="D234" s="68" t="s">
        <v>230</v>
      </c>
      <c r="E234" s="68" t="s">
        <v>60</v>
      </c>
      <c r="F234" s="22" t="s">
        <v>69</v>
      </c>
      <c r="G234" s="133" t="s">
        <v>539</v>
      </c>
      <c r="H234" s="22" t="s">
        <v>109</v>
      </c>
      <c r="I234" s="86"/>
      <c r="J234" s="236"/>
      <c r="K234" s="236">
        <v>50820</v>
      </c>
      <c r="L234" s="201"/>
      <c r="M234" s="236"/>
      <c r="N234" s="442"/>
      <c r="O234" s="440">
        <v>50820</v>
      </c>
    </row>
    <row r="235" spans="1:15" ht="15.75">
      <c r="A235" s="235" t="s">
        <v>239</v>
      </c>
      <c r="B235" s="23" t="s">
        <v>131</v>
      </c>
      <c r="C235" s="23" t="s">
        <v>240</v>
      </c>
      <c r="D235" s="23"/>
      <c r="E235" s="23"/>
      <c r="F235" s="23"/>
      <c r="G235" s="23"/>
      <c r="H235" s="23"/>
      <c r="I235" s="24">
        <f>SUM(I236:I238)</f>
        <v>0</v>
      </c>
      <c r="J235" s="277">
        <f>SUM(J236:J239)</f>
        <v>0</v>
      </c>
      <c r="K235" s="24">
        <f>SUM(K236:K239)</f>
        <v>5288694.260000001</v>
      </c>
      <c r="L235" s="24">
        <f>SUM(L236:L239)</f>
        <v>180780.4500000002</v>
      </c>
      <c r="M235" s="24">
        <f>SUM(M236:M239)</f>
        <v>5203896.260000001</v>
      </c>
      <c r="N235" s="442">
        <f t="shared" si="4"/>
        <v>5203896.260000001</v>
      </c>
      <c r="O235" s="440">
        <v>5297994.260000001</v>
      </c>
    </row>
    <row r="236" spans="1:15" ht="108.75" customHeight="1">
      <c r="A236" s="63" t="s">
        <v>546</v>
      </c>
      <c r="B236" s="21" t="s">
        <v>131</v>
      </c>
      <c r="C236" s="21" t="s">
        <v>240</v>
      </c>
      <c r="D236" s="21" t="s">
        <v>119</v>
      </c>
      <c r="E236" s="21" t="s">
        <v>60</v>
      </c>
      <c r="F236" s="21" t="s">
        <v>119</v>
      </c>
      <c r="G236" s="133" t="s">
        <v>541</v>
      </c>
      <c r="H236" s="21" t="s">
        <v>163</v>
      </c>
      <c r="I236" s="85"/>
      <c r="J236" s="162"/>
      <c r="K236" s="236">
        <v>4280731.61</v>
      </c>
      <c r="L236" s="201">
        <v>180780.4500000002</v>
      </c>
      <c r="M236" s="236">
        <v>4278731.61</v>
      </c>
      <c r="N236" s="442">
        <f t="shared" si="4"/>
        <v>4278731.61</v>
      </c>
      <c r="O236" s="256">
        <v>4280731.61</v>
      </c>
    </row>
    <row r="237" spans="1:15" ht="66.75" customHeight="1">
      <c r="A237" s="63" t="s">
        <v>592</v>
      </c>
      <c r="B237" s="21" t="s">
        <v>131</v>
      </c>
      <c r="C237" s="21" t="s">
        <v>240</v>
      </c>
      <c r="D237" s="21" t="s">
        <v>119</v>
      </c>
      <c r="E237" s="21" t="s">
        <v>60</v>
      </c>
      <c r="F237" s="21" t="s">
        <v>119</v>
      </c>
      <c r="G237" s="133" t="s">
        <v>541</v>
      </c>
      <c r="H237" s="21" t="s">
        <v>164</v>
      </c>
      <c r="I237" s="85"/>
      <c r="J237" s="165"/>
      <c r="K237" s="256">
        <v>856248.65</v>
      </c>
      <c r="L237" s="201"/>
      <c r="M237" s="256">
        <f>784950.65-11500</f>
        <v>773450.65</v>
      </c>
      <c r="N237" s="442">
        <f t="shared" si="4"/>
        <v>773450.65</v>
      </c>
      <c r="O237" s="256">
        <v>865548.65</v>
      </c>
    </row>
    <row r="238" spans="1:15" ht="53.25" customHeight="1">
      <c r="A238" s="63" t="s">
        <v>540</v>
      </c>
      <c r="B238" s="21" t="s">
        <v>131</v>
      </c>
      <c r="C238" s="21" t="s">
        <v>240</v>
      </c>
      <c r="D238" s="21" t="s">
        <v>119</v>
      </c>
      <c r="E238" s="21" t="s">
        <v>60</v>
      </c>
      <c r="F238" s="21" t="s">
        <v>119</v>
      </c>
      <c r="G238" s="133" t="s">
        <v>541</v>
      </c>
      <c r="H238" s="21" t="s">
        <v>165</v>
      </c>
      <c r="I238" s="85"/>
      <c r="J238" s="165"/>
      <c r="K238" s="258">
        <v>0</v>
      </c>
      <c r="L238" s="201"/>
      <c r="M238" s="258">
        <v>0</v>
      </c>
      <c r="N238" s="442">
        <f t="shared" si="4"/>
        <v>0</v>
      </c>
      <c r="O238" s="440">
        <v>0</v>
      </c>
    </row>
    <row r="239" spans="1:15" ht="63.75" customHeight="1">
      <c r="A239" s="69" t="s">
        <v>997</v>
      </c>
      <c r="B239" s="21" t="s">
        <v>131</v>
      </c>
      <c r="C239" s="21" t="s">
        <v>240</v>
      </c>
      <c r="D239" s="21" t="s">
        <v>230</v>
      </c>
      <c r="E239" s="21" t="s">
        <v>60</v>
      </c>
      <c r="F239" s="21" t="s">
        <v>119</v>
      </c>
      <c r="G239" s="133" t="s">
        <v>1009</v>
      </c>
      <c r="H239" s="21" t="s">
        <v>109</v>
      </c>
      <c r="I239" s="85"/>
      <c r="J239" s="165"/>
      <c r="K239" s="236">
        <v>151714</v>
      </c>
      <c r="L239" s="201"/>
      <c r="M239" s="236">
        <v>151714</v>
      </c>
      <c r="N239" s="442">
        <f t="shared" si="4"/>
        <v>151714</v>
      </c>
      <c r="O239" s="440">
        <v>151714</v>
      </c>
    </row>
    <row r="240" spans="1:15" ht="15.75">
      <c r="A240" s="235" t="s">
        <v>253</v>
      </c>
      <c r="B240" s="23" t="s">
        <v>131</v>
      </c>
      <c r="C240" s="23" t="s">
        <v>254</v>
      </c>
      <c r="D240" s="23"/>
      <c r="E240" s="23"/>
      <c r="F240" s="23"/>
      <c r="G240" s="23"/>
      <c r="H240" s="23"/>
      <c r="I240" s="24">
        <f>I241</f>
        <v>0</v>
      </c>
      <c r="J240" s="277">
        <f>J241+J244</f>
        <v>0</v>
      </c>
      <c r="K240" s="24">
        <f>K241+K244</f>
        <v>1869912.8</v>
      </c>
      <c r="L240" s="201"/>
      <c r="M240" s="24">
        <f>M241+M244</f>
        <v>2264012.8</v>
      </c>
      <c r="N240" s="442">
        <f t="shared" si="4"/>
        <v>2264012.8</v>
      </c>
      <c r="O240" s="440">
        <v>2264012.8</v>
      </c>
    </row>
    <row r="241" spans="1:15" ht="15.75">
      <c r="A241" s="235" t="s">
        <v>202</v>
      </c>
      <c r="B241" s="23" t="s">
        <v>131</v>
      </c>
      <c r="C241" s="23" t="s">
        <v>203</v>
      </c>
      <c r="D241" s="23"/>
      <c r="E241" s="23"/>
      <c r="F241" s="23"/>
      <c r="G241" s="23"/>
      <c r="H241" s="23"/>
      <c r="I241" s="24">
        <f>SUM(I242:I243)</f>
        <v>0</v>
      </c>
      <c r="J241" s="277">
        <f>SUM(J242:J243)</f>
        <v>0</v>
      </c>
      <c r="K241" s="24">
        <f>SUM(K242:K243)</f>
        <v>1217512.8</v>
      </c>
      <c r="L241" s="201"/>
      <c r="M241" s="24">
        <f>SUM(M242:M243)</f>
        <v>1217512.8</v>
      </c>
      <c r="N241" s="442">
        <f t="shared" si="4"/>
        <v>1217512.8</v>
      </c>
      <c r="O241" s="440">
        <v>1217512.8</v>
      </c>
    </row>
    <row r="242" spans="1:15" ht="117" customHeight="1">
      <c r="A242" s="63" t="s">
        <v>544</v>
      </c>
      <c r="B242" s="21" t="s">
        <v>131</v>
      </c>
      <c r="C242" s="21" t="s">
        <v>203</v>
      </c>
      <c r="D242" s="21" t="s">
        <v>230</v>
      </c>
      <c r="E242" s="21" t="s">
        <v>68</v>
      </c>
      <c r="F242" s="21" t="s">
        <v>69</v>
      </c>
      <c r="G242" s="133" t="s">
        <v>543</v>
      </c>
      <c r="H242" s="21" t="s">
        <v>110</v>
      </c>
      <c r="I242" s="85"/>
      <c r="J242" s="165"/>
      <c r="K242" s="193">
        <v>1130892.7</v>
      </c>
      <c r="L242" s="201"/>
      <c r="M242" s="193">
        <v>1130892.7</v>
      </c>
      <c r="N242" s="442">
        <f t="shared" si="4"/>
        <v>1130892.7</v>
      </c>
      <c r="O242" s="440">
        <v>1130892.7</v>
      </c>
    </row>
    <row r="243" spans="1:15" ht="119.25" customHeight="1">
      <c r="A243" s="63" t="s">
        <v>544</v>
      </c>
      <c r="B243" s="22" t="s">
        <v>131</v>
      </c>
      <c r="C243" s="22" t="s">
        <v>203</v>
      </c>
      <c r="D243" s="22" t="s">
        <v>230</v>
      </c>
      <c r="E243" s="22" t="s">
        <v>60</v>
      </c>
      <c r="F243" s="22" t="s">
        <v>69</v>
      </c>
      <c r="G243" s="133" t="s">
        <v>543</v>
      </c>
      <c r="H243" s="22" t="s">
        <v>110</v>
      </c>
      <c r="I243" s="86"/>
      <c r="J243" s="162"/>
      <c r="K243" s="193">
        <v>86620.1</v>
      </c>
      <c r="L243" s="201"/>
      <c r="M243" s="193">
        <v>86620.1</v>
      </c>
      <c r="N243" s="442">
        <f t="shared" si="4"/>
        <v>86620.1</v>
      </c>
      <c r="O243" s="440">
        <v>86620.1</v>
      </c>
    </row>
    <row r="244" spans="1:15" ht="15.75">
      <c r="A244" s="235" t="s">
        <v>328</v>
      </c>
      <c r="B244" s="23" t="s">
        <v>131</v>
      </c>
      <c r="C244" s="23" t="s">
        <v>327</v>
      </c>
      <c r="D244" s="23"/>
      <c r="E244" s="23"/>
      <c r="F244" s="23"/>
      <c r="G244" s="23"/>
      <c r="H244" s="23"/>
      <c r="I244" s="24">
        <f>SUM(I245:I251)</f>
        <v>-275.2</v>
      </c>
      <c r="J244" s="277">
        <f>SUM(J245:J250)</f>
        <v>0</v>
      </c>
      <c r="K244" s="24">
        <f>SUM(K245:K250)</f>
        <v>652400</v>
      </c>
      <c r="L244" s="201"/>
      <c r="M244" s="24">
        <f>SUM(M245:M249)</f>
        <v>1046500</v>
      </c>
      <c r="N244" s="442">
        <f t="shared" si="4"/>
        <v>1046500</v>
      </c>
      <c r="O244" s="440">
        <v>1046500</v>
      </c>
    </row>
    <row r="245" spans="1:15" ht="33" customHeight="1">
      <c r="A245" s="221" t="s">
        <v>542</v>
      </c>
      <c r="B245" s="133" t="s">
        <v>131</v>
      </c>
      <c r="C245" s="133" t="s">
        <v>327</v>
      </c>
      <c r="D245" s="133" t="s">
        <v>162</v>
      </c>
      <c r="E245" s="133" t="s">
        <v>118</v>
      </c>
      <c r="F245" s="133" t="s">
        <v>498</v>
      </c>
      <c r="G245" s="133" t="s">
        <v>545</v>
      </c>
      <c r="H245" s="133" t="s">
        <v>110</v>
      </c>
      <c r="I245" s="164"/>
      <c r="J245" s="246"/>
      <c r="K245" s="138">
        <v>0</v>
      </c>
      <c r="L245" s="201"/>
      <c r="M245" s="138">
        <v>1035000</v>
      </c>
      <c r="N245" s="442">
        <f t="shared" si="4"/>
        <v>1035000</v>
      </c>
      <c r="O245" s="440">
        <v>0</v>
      </c>
    </row>
    <row r="246" spans="1:15" ht="93.75" customHeight="1">
      <c r="A246" s="64" t="s">
        <v>1538</v>
      </c>
      <c r="B246" s="22" t="s">
        <v>131</v>
      </c>
      <c r="C246" s="22" t="s">
        <v>327</v>
      </c>
      <c r="D246" s="22" t="s">
        <v>162</v>
      </c>
      <c r="E246" s="22" t="s">
        <v>118</v>
      </c>
      <c r="F246" s="22" t="s">
        <v>498</v>
      </c>
      <c r="G246" s="22" t="s">
        <v>545</v>
      </c>
      <c r="H246" s="22" t="s">
        <v>165</v>
      </c>
      <c r="I246" s="86"/>
      <c r="J246" s="162"/>
      <c r="K246" s="162">
        <v>631600</v>
      </c>
      <c r="L246" s="201"/>
      <c r="M246" s="138"/>
      <c r="N246" s="442"/>
      <c r="O246" s="440">
        <v>1035000</v>
      </c>
    </row>
    <row r="247" spans="1:15" ht="65.25" customHeight="1">
      <c r="A247" s="223" t="s">
        <v>938</v>
      </c>
      <c r="B247" s="133" t="s">
        <v>131</v>
      </c>
      <c r="C247" s="133" t="s">
        <v>327</v>
      </c>
      <c r="D247" s="133" t="s">
        <v>1366</v>
      </c>
      <c r="E247" s="133" t="s">
        <v>68</v>
      </c>
      <c r="F247" s="133" t="s">
        <v>119</v>
      </c>
      <c r="G247" s="133" t="s">
        <v>960</v>
      </c>
      <c r="H247" s="133" t="s">
        <v>164</v>
      </c>
      <c r="I247" s="164"/>
      <c r="J247" s="246"/>
      <c r="K247" s="236">
        <v>0</v>
      </c>
      <c r="L247" s="201"/>
      <c r="M247" s="236">
        <v>0</v>
      </c>
      <c r="N247" s="442">
        <f t="shared" si="4"/>
        <v>0</v>
      </c>
      <c r="O247" s="440">
        <v>0</v>
      </c>
    </row>
    <row r="248" spans="1:15" ht="65.25" customHeight="1">
      <c r="A248" s="223" t="s">
        <v>1371</v>
      </c>
      <c r="B248" s="133" t="s">
        <v>131</v>
      </c>
      <c r="C248" s="133" t="s">
        <v>327</v>
      </c>
      <c r="D248" s="133" t="s">
        <v>1366</v>
      </c>
      <c r="E248" s="133" t="s">
        <v>68</v>
      </c>
      <c r="F248" s="133" t="s">
        <v>69</v>
      </c>
      <c r="G248" s="133" t="s">
        <v>1373</v>
      </c>
      <c r="H248" s="133" t="s">
        <v>164</v>
      </c>
      <c r="I248" s="164"/>
      <c r="J248" s="246"/>
      <c r="K248" s="236">
        <v>10800</v>
      </c>
      <c r="L248" s="201"/>
      <c r="M248" s="236">
        <v>11500</v>
      </c>
      <c r="N248" s="442">
        <f t="shared" si="4"/>
        <v>11500</v>
      </c>
      <c r="O248" s="440">
        <v>11500</v>
      </c>
    </row>
    <row r="249" spans="1:15" ht="75" customHeight="1">
      <c r="A249" s="69" t="s">
        <v>894</v>
      </c>
      <c r="B249" s="21" t="s">
        <v>131</v>
      </c>
      <c r="C249" s="21" t="s">
        <v>327</v>
      </c>
      <c r="D249" s="21" t="s">
        <v>1366</v>
      </c>
      <c r="E249" s="21" t="s">
        <v>68</v>
      </c>
      <c r="F249" s="21" t="s">
        <v>241</v>
      </c>
      <c r="G249" s="133" t="s">
        <v>961</v>
      </c>
      <c r="H249" s="21" t="s">
        <v>164</v>
      </c>
      <c r="I249" s="85"/>
      <c r="J249" s="165"/>
      <c r="K249" s="236">
        <v>0</v>
      </c>
      <c r="L249" s="201"/>
      <c r="M249" s="236">
        <v>0</v>
      </c>
      <c r="N249" s="442">
        <f t="shared" si="4"/>
        <v>0</v>
      </c>
      <c r="O249" s="440">
        <v>0</v>
      </c>
    </row>
    <row r="250" spans="1:15" ht="81.75" customHeight="1">
      <c r="A250" s="69" t="s">
        <v>1570</v>
      </c>
      <c r="B250" s="21" t="s">
        <v>131</v>
      </c>
      <c r="C250" s="21" t="s">
        <v>327</v>
      </c>
      <c r="D250" s="21" t="s">
        <v>1366</v>
      </c>
      <c r="E250" s="21" t="s">
        <v>68</v>
      </c>
      <c r="F250" s="21" t="s">
        <v>57</v>
      </c>
      <c r="G250" s="133" t="s">
        <v>1033</v>
      </c>
      <c r="H250" s="21" t="s">
        <v>164</v>
      </c>
      <c r="I250" s="85"/>
      <c r="J250" s="165"/>
      <c r="K250" s="236">
        <v>10000</v>
      </c>
      <c r="L250" s="201"/>
      <c r="M250" s="236"/>
      <c r="N250" s="442"/>
      <c r="O250" s="440"/>
    </row>
    <row r="251" spans="1:15" ht="31.5">
      <c r="A251" s="233" t="s">
        <v>114</v>
      </c>
      <c r="B251" s="234" t="s">
        <v>113</v>
      </c>
      <c r="C251" s="234"/>
      <c r="D251" s="234"/>
      <c r="E251" s="234"/>
      <c r="F251" s="234"/>
      <c r="G251" s="234"/>
      <c r="H251" s="234"/>
      <c r="I251" s="205">
        <f>I252</f>
        <v>-275.2</v>
      </c>
      <c r="J251" s="434">
        <f>J252+J263</f>
        <v>0</v>
      </c>
      <c r="K251" s="191">
        <f>K252+K263</f>
        <v>4745146</v>
      </c>
      <c r="L251" s="191">
        <f>L252+L263</f>
        <v>162508.19999999972</v>
      </c>
      <c r="M251" s="191">
        <f>M252+M263</f>
        <v>4629720</v>
      </c>
      <c r="N251" s="442">
        <f t="shared" si="4"/>
        <v>4629720</v>
      </c>
      <c r="O251" s="440">
        <v>4709146</v>
      </c>
    </row>
    <row r="252" spans="1:15" ht="15.75">
      <c r="A252" s="235" t="s">
        <v>283</v>
      </c>
      <c r="B252" s="23" t="s">
        <v>113</v>
      </c>
      <c r="C252" s="23" t="s">
        <v>284</v>
      </c>
      <c r="D252" s="23"/>
      <c r="E252" s="23"/>
      <c r="F252" s="23"/>
      <c r="G252" s="23"/>
      <c r="H252" s="23"/>
      <c r="I252" s="24">
        <f>SUM(I254:I258)</f>
        <v>-275.2</v>
      </c>
      <c r="J252" s="277">
        <f>SUM(J253,J257,J261)</f>
        <v>0</v>
      </c>
      <c r="K252" s="157">
        <f>SUM(K253,K257,K261,K259)</f>
        <v>4728146</v>
      </c>
      <c r="L252" s="157">
        <f>SUM(L253,L257,L261)</f>
        <v>162508.19999999972</v>
      </c>
      <c r="M252" s="157">
        <f>SUM(M253,M257,M261,M259)</f>
        <v>4622220</v>
      </c>
      <c r="N252" s="442">
        <f t="shared" si="4"/>
        <v>4622220</v>
      </c>
      <c r="O252" s="440">
        <v>4698146</v>
      </c>
    </row>
    <row r="253" spans="1:15" ht="47.25">
      <c r="A253" s="235" t="s">
        <v>613</v>
      </c>
      <c r="B253" s="23" t="s">
        <v>113</v>
      </c>
      <c r="C253" s="23" t="s">
        <v>130</v>
      </c>
      <c r="D253" s="23"/>
      <c r="E253" s="23"/>
      <c r="F253" s="23"/>
      <c r="G253" s="23"/>
      <c r="H253" s="23"/>
      <c r="I253" s="24"/>
      <c r="J253" s="277">
        <f>SUM(J254:J256)</f>
        <v>0</v>
      </c>
      <c r="K253" s="157">
        <f>SUM(K254:K256)</f>
        <v>4309040</v>
      </c>
      <c r="L253" s="157">
        <f>SUM(L254:L256)</f>
        <v>162508.19999999972</v>
      </c>
      <c r="M253" s="157">
        <f>SUM(M254:M256)</f>
        <v>4237000</v>
      </c>
      <c r="N253" s="442">
        <f t="shared" si="4"/>
        <v>4237000</v>
      </c>
      <c r="O253" s="440">
        <v>4309040</v>
      </c>
    </row>
    <row r="254" spans="1:15" ht="99" customHeight="1">
      <c r="A254" s="69" t="s">
        <v>547</v>
      </c>
      <c r="B254" s="22" t="s">
        <v>113</v>
      </c>
      <c r="C254" s="22" t="s">
        <v>130</v>
      </c>
      <c r="D254" s="22" t="s">
        <v>295</v>
      </c>
      <c r="E254" s="22" t="s">
        <v>68</v>
      </c>
      <c r="F254" s="22" t="s">
        <v>69</v>
      </c>
      <c r="G254" s="133" t="s">
        <v>548</v>
      </c>
      <c r="H254" s="21" t="s">
        <v>163</v>
      </c>
      <c r="I254" s="85">
        <v>-216</v>
      </c>
      <c r="J254" s="162"/>
      <c r="K254" s="236">
        <v>3850265.8</v>
      </c>
      <c r="L254" s="201">
        <v>162508.19999999972</v>
      </c>
      <c r="M254" s="236">
        <v>3850265.8</v>
      </c>
      <c r="N254" s="442">
        <f t="shared" si="4"/>
        <v>3850265.8</v>
      </c>
      <c r="O254" s="440">
        <v>3850265.8</v>
      </c>
    </row>
    <row r="255" spans="1:15" ht="63">
      <c r="A255" s="69" t="s">
        <v>606</v>
      </c>
      <c r="B255" s="22" t="s">
        <v>113</v>
      </c>
      <c r="C255" s="22" t="s">
        <v>130</v>
      </c>
      <c r="D255" s="22" t="s">
        <v>295</v>
      </c>
      <c r="E255" s="22" t="s">
        <v>68</v>
      </c>
      <c r="F255" s="22" t="s">
        <v>69</v>
      </c>
      <c r="G255" s="133" t="s">
        <v>548</v>
      </c>
      <c r="H255" s="21" t="s">
        <v>164</v>
      </c>
      <c r="I255" s="85">
        <v>-53.2</v>
      </c>
      <c r="J255" s="165"/>
      <c r="K255" s="236">
        <v>458774.2</v>
      </c>
      <c r="L255" s="201"/>
      <c r="M255" s="236">
        <v>386734.2</v>
      </c>
      <c r="N255" s="442">
        <f t="shared" si="4"/>
        <v>386734.2</v>
      </c>
      <c r="O255" s="440">
        <v>458774.2</v>
      </c>
    </row>
    <row r="256" spans="1:15" ht="47.25">
      <c r="A256" s="69" t="s">
        <v>461</v>
      </c>
      <c r="B256" s="22" t="s">
        <v>113</v>
      </c>
      <c r="C256" s="22" t="s">
        <v>130</v>
      </c>
      <c r="D256" s="22" t="s">
        <v>295</v>
      </c>
      <c r="E256" s="22" t="s">
        <v>68</v>
      </c>
      <c r="F256" s="22" t="s">
        <v>69</v>
      </c>
      <c r="G256" s="133" t="s">
        <v>548</v>
      </c>
      <c r="H256" s="21" t="s">
        <v>165</v>
      </c>
      <c r="I256" s="85">
        <v>-6</v>
      </c>
      <c r="J256" s="165"/>
      <c r="K256" s="236"/>
      <c r="L256" s="201"/>
      <c r="M256" s="236"/>
      <c r="N256" s="442">
        <f t="shared" si="4"/>
        <v>0</v>
      </c>
      <c r="O256" s="440"/>
    </row>
    <row r="257" spans="1:15" ht="15.75" customHeight="1">
      <c r="A257" s="227" t="s">
        <v>614</v>
      </c>
      <c r="B257" s="145" t="s">
        <v>113</v>
      </c>
      <c r="C257" s="145" t="s">
        <v>266</v>
      </c>
      <c r="D257" s="120"/>
      <c r="E257" s="120"/>
      <c r="F257" s="120"/>
      <c r="G257" s="120"/>
      <c r="H257" s="120"/>
      <c r="I257" s="146"/>
      <c r="J257" s="277">
        <f>J258</f>
        <v>0</v>
      </c>
      <c r="K257" s="157">
        <f>K258</f>
        <v>9106</v>
      </c>
      <c r="L257" s="201"/>
      <c r="M257" s="157">
        <f>M258</f>
        <v>5220</v>
      </c>
      <c r="N257" s="442">
        <f t="shared" si="4"/>
        <v>5220</v>
      </c>
      <c r="O257" s="440">
        <v>9106</v>
      </c>
    </row>
    <row r="258" spans="1:15" ht="65.25" customHeight="1">
      <c r="A258" s="63" t="s">
        <v>1485</v>
      </c>
      <c r="B258" s="21" t="s">
        <v>113</v>
      </c>
      <c r="C258" s="21" t="s">
        <v>266</v>
      </c>
      <c r="D258" s="21" t="s">
        <v>549</v>
      </c>
      <c r="E258" s="21" t="s">
        <v>118</v>
      </c>
      <c r="F258" s="21" t="s">
        <v>498</v>
      </c>
      <c r="G258" s="133" t="s">
        <v>550</v>
      </c>
      <c r="H258" s="21" t="s">
        <v>53</v>
      </c>
      <c r="I258" s="85"/>
      <c r="J258" s="165"/>
      <c r="K258" s="236">
        <v>9106</v>
      </c>
      <c r="L258" s="201"/>
      <c r="M258" s="236">
        <v>5220</v>
      </c>
      <c r="N258" s="442">
        <f t="shared" si="4"/>
        <v>5220</v>
      </c>
      <c r="O258" s="440">
        <v>9106</v>
      </c>
    </row>
    <row r="259" spans="1:15" ht="17.25" customHeight="1">
      <c r="A259" s="227" t="s">
        <v>1335</v>
      </c>
      <c r="B259" s="145" t="s">
        <v>113</v>
      </c>
      <c r="C259" s="145" t="s">
        <v>1336</v>
      </c>
      <c r="D259" s="120"/>
      <c r="E259" s="120"/>
      <c r="F259" s="120"/>
      <c r="G259" s="120"/>
      <c r="H259" s="120"/>
      <c r="I259" s="146"/>
      <c r="J259" s="277">
        <f>J260</f>
        <v>0</v>
      </c>
      <c r="K259" s="157">
        <f>K260</f>
        <v>380000</v>
      </c>
      <c r="L259" s="201"/>
      <c r="M259" s="157">
        <f>M260</f>
        <v>380000</v>
      </c>
      <c r="N259" s="442">
        <f t="shared" si="4"/>
        <v>380000</v>
      </c>
      <c r="O259" s="440">
        <v>380000</v>
      </c>
    </row>
    <row r="260" spans="1:15" ht="33" customHeight="1">
      <c r="A260" s="221" t="s">
        <v>1337</v>
      </c>
      <c r="B260" s="21" t="s">
        <v>113</v>
      </c>
      <c r="C260" s="21" t="s">
        <v>1336</v>
      </c>
      <c r="D260" s="21" t="s">
        <v>162</v>
      </c>
      <c r="E260" s="21" t="s">
        <v>118</v>
      </c>
      <c r="F260" s="21" t="s">
        <v>498</v>
      </c>
      <c r="G260" s="133" t="s">
        <v>1380</v>
      </c>
      <c r="H260" s="21" t="s">
        <v>165</v>
      </c>
      <c r="I260" s="85"/>
      <c r="J260" s="165"/>
      <c r="K260" s="236">
        <v>380000</v>
      </c>
      <c r="L260" s="201"/>
      <c r="M260" s="236">
        <v>380000</v>
      </c>
      <c r="N260" s="442">
        <f t="shared" si="4"/>
        <v>380000</v>
      </c>
      <c r="O260" s="440">
        <v>380000</v>
      </c>
    </row>
    <row r="261" spans="1:15" ht="15" customHeight="1">
      <c r="A261" s="227" t="s">
        <v>314</v>
      </c>
      <c r="B261" s="145" t="s">
        <v>113</v>
      </c>
      <c r="C261" s="145" t="s">
        <v>315</v>
      </c>
      <c r="D261" s="120"/>
      <c r="E261" s="120"/>
      <c r="F261" s="120"/>
      <c r="G261" s="120"/>
      <c r="H261" s="120"/>
      <c r="I261" s="146"/>
      <c r="J261" s="277">
        <f>J262</f>
        <v>0</v>
      </c>
      <c r="K261" s="157">
        <f>K262</f>
        <v>30000</v>
      </c>
      <c r="L261" s="201"/>
      <c r="M261" s="157">
        <f>M262</f>
        <v>0</v>
      </c>
      <c r="N261" s="442">
        <f t="shared" si="4"/>
        <v>0</v>
      </c>
      <c r="O261" s="440">
        <v>0</v>
      </c>
    </row>
    <row r="262" spans="1:15" ht="175.5" customHeight="1">
      <c r="A262" s="63" t="s">
        <v>1035</v>
      </c>
      <c r="B262" s="21" t="s">
        <v>113</v>
      </c>
      <c r="C262" s="21" t="s">
        <v>315</v>
      </c>
      <c r="D262" s="21" t="s">
        <v>162</v>
      </c>
      <c r="E262" s="21" t="s">
        <v>118</v>
      </c>
      <c r="F262" s="21" t="s">
        <v>498</v>
      </c>
      <c r="G262" s="133" t="s">
        <v>620</v>
      </c>
      <c r="H262" s="21" t="s">
        <v>165</v>
      </c>
      <c r="I262" s="85"/>
      <c r="J262" s="165"/>
      <c r="K262" s="236">
        <v>30000</v>
      </c>
      <c r="L262" s="201"/>
      <c r="M262" s="236"/>
      <c r="N262" s="442">
        <f t="shared" si="4"/>
        <v>0</v>
      </c>
      <c r="O262" s="440"/>
    </row>
    <row r="263" spans="1:15" ht="15.75">
      <c r="A263" s="152" t="s">
        <v>253</v>
      </c>
      <c r="B263" s="145" t="s">
        <v>113</v>
      </c>
      <c r="C263" s="145" t="s">
        <v>254</v>
      </c>
      <c r="D263" s="145"/>
      <c r="E263" s="145"/>
      <c r="F263" s="145"/>
      <c r="G263" s="145"/>
      <c r="H263" s="145"/>
      <c r="I263" s="151"/>
      <c r="J263" s="277">
        <f>J264</f>
        <v>0</v>
      </c>
      <c r="K263" s="241">
        <f>K264</f>
        <v>17000</v>
      </c>
      <c r="L263" s="201"/>
      <c r="M263" s="241">
        <f>M264</f>
        <v>7500</v>
      </c>
      <c r="N263" s="442">
        <f t="shared" si="4"/>
        <v>7500</v>
      </c>
      <c r="O263" s="440">
        <v>11000</v>
      </c>
    </row>
    <row r="264" spans="1:15" ht="15.75">
      <c r="A264" s="152" t="s">
        <v>314</v>
      </c>
      <c r="B264" s="145" t="s">
        <v>113</v>
      </c>
      <c r="C264" s="145" t="s">
        <v>327</v>
      </c>
      <c r="D264" s="145"/>
      <c r="E264" s="145"/>
      <c r="F264" s="145"/>
      <c r="G264" s="145"/>
      <c r="H264" s="145"/>
      <c r="I264" s="151"/>
      <c r="J264" s="277">
        <f>SUM(J265:J267)</f>
        <v>0</v>
      </c>
      <c r="K264" s="151">
        <f>SUM(K265:K267)</f>
        <v>17000</v>
      </c>
      <c r="L264" s="201"/>
      <c r="M264" s="151">
        <f>SUM(M265:M266)</f>
        <v>7500</v>
      </c>
      <c r="N264" s="442">
        <f t="shared" si="4"/>
        <v>7500</v>
      </c>
      <c r="O264" s="440">
        <v>11000</v>
      </c>
    </row>
    <row r="265" spans="1:15" ht="61.5" customHeight="1">
      <c r="A265" s="69" t="s">
        <v>1060</v>
      </c>
      <c r="B265" s="21" t="s">
        <v>113</v>
      </c>
      <c r="C265" s="21" t="s">
        <v>327</v>
      </c>
      <c r="D265" s="21" t="s">
        <v>1366</v>
      </c>
      <c r="E265" s="21" t="s">
        <v>68</v>
      </c>
      <c r="F265" s="21" t="s">
        <v>119</v>
      </c>
      <c r="G265" s="133" t="s">
        <v>1055</v>
      </c>
      <c r="H265" s="21" t="s">
        <v>164</v>
      </c>
      <c r="I265" s="85"/>
      <c r="J265" s="165"/>
      <c r="K265" s="236">
        <v>6000</v>
      </c>
      <c r="L265" s="201"/>
      <c r="M265" s="236">
        <v>2500</v>
      </c>
      <c r="N265" s="442">
        <f t="shared" si="4"/>
        <v>2500</v>
      </c>
      <c r="O265" s="440">
        <v>6000</v>
      </c>
    </row>
    <row r="266" spans="1:15" ht="80.25" customHeight="1">
      <c r="A266" s="223" t="s">
        <v>1321</v>
      </c>
      <c r="B266" s="133" t="s">
        <v>113</v>
      </c>
      <c r="C266" s="133" t="s">
        <v>327</v>
      </c>
      <c r="D266" s="133" t="s">
        <v>1366</v>
      </c>
      <c r="E266" s="133" t="s">
        <v>68</v>
      </c>
      <c r="F266" s="133" t="s">
        <v>241</v>
      </c>
      <c r="G266" s="133" t="s">
        <v>1322</v>
      </c>
      <c r="H266" s="133" t="s">
        <v>164</v>
      </c>
      <c r="I266" s="164"/>
      <c r="J266" s="246"/>
      <c r="K266" s="236">
        <v>5000</v>
      </c>
      <c r="L266" s="209"/>
      <c r="M266" s="236">
        <v>5000</v>
      </c>
      <c r="N266" s="442">
        <f t="shared" si="4"/>
        <v>5000</v>
      </c>
      <c r="O266" s="440">
        <v>5000</v>
      </c>
    </row>
    <row r="267" spans="1:15" ht="80.25" customHeight="1">
      <c r="A267" s="223" t="s">
        <v>1571</v>
      </c>
      <c r="B267" s="133" t="s">
        <v>113</v>
      </c>
      <c r="C267" s="133" t="s">
        <v>327</v>
      </c>
      <c r="D267" s="133" t="s">
        <v>1366</v>
      </c>
      <c r="E267" s="133" t="s">
        <v>68</v>
      </c>
      <c r="F267" s="133" t="s">
        <v>57</v>
      </c>
      <c r="G267" s="133" t="s">
        <v>1572</v>
      </c>
      <c r="H267" s="133" t="s">
        <v>164</v>
      </c>
      <c r="I267" s="164"/>
      <c r="J267" s="246"/>
      <c r="K267" s="236">
        <v>6000</v>
      </c>
      <c r="L267" s="209"/>
      <c r="M267" s="236"/>
      <c r="N267" s="442"/>
      <c r="O267" s="440"/>
    </row>
    <row r="268" spans="1:15" ht="30.75" customHeight="1">
      <c r="A268" s="233" t="s">
        <v>248</v>
      </c>
      <c r="B268" s="234" t="s">
        <v>293</v>
      </c>
      <c r="C268" s="234"/>
      <c r="D268" s="234"/>
      <c r="E268" s="234"/>
      <c r="F268" s="234"/>
      <c r="G268" s="234"/>
      <c r="H268" s="234"/>
      <c r="I268" s="205">
        <f>I270</f>
        <v>1400</v>
      </c>
      <c r="J268" s="434">
        <f>J269+J273</f>
        <v>0</v>
      </c>
      <c r="K268" s="191">
        <f>K269+K273</f>
        <v>1389873.6099999999</v>
      </c>
      <c r="L268" s="191">
        <f>L269+L273</f>
        <v>47416.75</v>
      </c>
      <c r="M268" s="191">
        <f>M269+M273</f>
        <v>1389873.6099999999</v>
      </c>
      <c r="N268" s="442">
        <f t="shared" si="4"/>
        <v>1389873.6099999999</v>
      </c>
      <c r="O268" s="440">
        <v>1389873.6099999999</v>
      </c>
    </row>
    <row r="269" spans="1:15" ht="15.75">
      <c r="A269" s="235" t="s">
        <v>283</v>
      </c>
      <c r="B269" s="145" t="s">
        <v>293</v>
      </c>
      <c r="C269" s="145" t="s">
        <v>284</v>
      </c>
      <c r="D269" s="145"/>
      <c r="E269" s="145"/>
      <c r="F269" s="145"/>
      <c r="G269" s="145"/>
      <c r="H269" s="145"/>
      <c r="I269" s="155"/>
      <c r="J269" s="277">
        <f>J270</f>
        <v>0</v>
      </c>
      <c r="K269" s="157">
        <f>K270</f>
        <v>1389873.6099999999</v>
      </c>
      <c r="L269" s="157">
        <f>L270</f>
        <v>47416.75</v>
      </c>
      <c r="M269" s="157">
        <f>M270</f>
        <v>1389873.6099999999</v>
      </c>
      <c r="N269" s="442">
        <f t="shared" si="4"/>
        <v>1389873.6099999999</v>
      </c>
      <c r="O269" s="440">
        <v>1389873.6099999999</v>
      </c>
    </row>
    <row r="270" spans="1:15" ht="51" customHeight="1">
      <c r="A270" s="235" t="s">
        <v>613</v>
      </c>
      <c r="B270" s="23" t="s">
        <v>293</v>
      </c>
      <c r="C270" s="23" t="s">
        <v>130</v>
      </c>
      <c r="D270" s="23"/>
      <c r="E270" s="23"/>
      <c r="F270" s="23"/>
      <c r="G270" s="23"/>
      <c r="H270" s="23"/>
      <c r="I270" s="24">
        <f>SUM(I271:I272)</f>
        <v>1400</v>
      </c>
      <c r="J270" s="277">
        <f>SUM(J271:J272)</f>
        <v>0</v>
      </c>
      <c r="K270" s="157">
        <f>SUM(K271:K272)</f>
        <v>1389873.6099999999</v>
      </c>
      <c r="L270" s="157">
        <f>SUM(L271:L272)</f>
        <v>47416.75</v>
      </c>
      <c r="M270" s="157">
        <f>SUM(M271:M272)</f>
        <v>1389873.6099999999</v>
      </c>
      <c r="N270" s="442">
        <f t="shared" si="4"/>
        <v>1389873.6099999999</v>
      </c>
      <c r="O270" s="440">
        <v>1389873.6099999999</v>
      </c>
    </row>
    <row r="271" spans="1:15" ht="98.25" customHeight="1">
      <c r="A271" s="63" t="s">
        <v>362</v>
      </c>
      <c r="B271" s="22" t="s">
        <v>293</v>
      </c>
      <c r="C271" s="22" t="s">
        <v>130</v>
      </c>
      <c r="D271" s="22" t="s">
        <v>119</v>
      </c>
      <c r="E271" s="22" t="s">
        <v>60</v>
      </c>
      <c r="F271" s="22" t="s">
        <v>119</v>
      </c>
      <c r="G271" s="133" t="s">
        <v>551</v>
      </c>
      <c r="H271" s="21" t="s">
        <v>163</v>
      </c>
      <c r="I271" s="85"/>
      <c r="J271" s="162"/>
      <c r="K271" s="236">
        <v>1150297.21</v>
      </c>
      <c r="L271" s="201">
        <v>47416.75</v>
      </c>
      <c r="M271" s="236">
        <v>1150297.21</v>
      </c>
      <c r="N271" s="442">
        <f t="shared" si="4"/>
        <v>1150297.21</v>
      </c>
      <c r="O271" s="440">
        <v>1150297.21</v>
      </c>
    </row>
    <row r="272" spans="1:15" ht="48.75" customHeight="1">
      <c r="A272" s="63" t="s">
        <v>593</v>
      </c>
      <c r="B272" s="22" t="s">
        <v>293</v>
      </c>
      <c r="C272" s="22" t="s">
        <v>130</v>
      </c>
      <c r="D272" s="22" t="s">
        <v>119</v>
      </c>
      <c r="E272" s="22" t="s">
        <v>60</v>
      </c>
      <c r="F272" s="22" t="s">
        <v>119</v>
      </c>
      <c r="G272" s="133" t="s">
        <v>551</v>
      </c>
      <c r="H272" s="21" t="s">
        <v>164</v>
      </c>
      <c r="I272" s="85">
        <v>1400</v>
      </c>
      <c r="J272" s="165"/>
      <c r="K272" s="236">
        <v>239576.4</v>
      </c>
      <c r="L272" s="201"/>
      <c r="M272" s="236">
        <v>239576.4</v>
      </c>
      <c r="N272" s="442">
        <f t="shared" si="4"/>
        <v>239576.4</v>
      </c>
      <c r="O272" s="440">
        <v>239576.4</v>
      </c>
    </row>
    <row r="273" spans="1:15" ht="15.75">
      <c r="A273" s="235" t="s">
        <v>253</v>
      </c>
      <c r="B273" s="23" t="s">
        <v>293</v>
      </c>
      <c r="C273" s="23" t="s">
        <v>254</v>
      </c>
      <c r="D273" s="120"/>
      <c r="E273" s="120"/>
      <c r="F273" s="120"/>
      <c r="G273" s="120"/>
      <c r="H273" s="120"/>
      <c r="I273" s="146"/>
      <c r="J273" s="277">
        <f>J274</f>
        <v>0</v>
      </c>
      <c r="K273" s="157">
        <f>K274</f>
        <v>0</v>
      </c>
      <c r="L273" s="201"/>
      <c r="M273" s="157">
        <f>M274</f>
        <v>0</v>
      </c>
      <c r="N273" s="442">
        <f t="shared" si="4"/>
        <v>0</v>
      </c>
      <c r="O273" s="440">
        <v>0</v>
      </c>
    </row>
    <row r="274" spans="1:15" ht="15.75">
      <c r="A274" s="235" t="s">
        <v>314</v>
      </c>
      <c r="B274" s="23" t="s">
        <v>293</v>
      </c>
      <c r="C274" s="23" t="s">
        <v>327</v>
      </c>
      <c r="D274" s="23"/>
      <c r="E274" s="23"/>
      <c r="F274" s="23"/>
      <c r="G274" s="23"/>
      <c r="H274" s="23"/>
      <c r="I274" s="24">
        <f>I275</f>
        <v>0</v>
      </c>
      <c r="J274" s="277">
        <f>J275+J276</f>
        <v>0</v>
      </c>
      <c r="K274" s="157">
        <f>K275+K276</f>
        <v>0</v>
      </c>
      <c r="L274" s="201"/>
      <c r="M274" s="157">
        <f>M275+M276</f>
        <v>0</v>
      </c>
      <c r="N274" s="442">
        <f t="shared" si="4"/>
        <v>0</v>
      </c>
      <c r="O274" s="440">
        <v>0</v>
      </c>
    </row>
    <row r="275" spans="1:15" ht="66" customHeight="1">
      <c r="A275" s="69" t="s">
        <v>890</v>
      </c>
      <c r="B275" s="21" t="s">
        <v>293</v>
      </c>
      <c r="C275" s="21" t="s">
        <v>327</v>
      </c>
      <c r="D275" s="21" t="s">
        <v>1366</v>
      </c>
      <c r="E275" s="21" t="s">
        <v>68</v>
      </c>
      <c r="F275" s="21" t="s">
        <v>69</v>
      </c>
      <c r="G275" s="133" t="s">
        <v>863</v>
      </c>
      <c r="H275" s="21" t="s">
        <v>164</v>
      </c>
      <c r="I275" s="85"/>
      <c r="J275" s="165"/>
      <c r="K275" s="236">
        <v>0</v>
      </c>
      <c r="L275" s="201"/>
      <c r="M275" s="236">
        <v>0</v>
      </c>
      <c r="N275" s="442">
        <f t="shared" si="4"/>
        <v>0</v>
      </c>
      <c r="O275" s="440">
        <v>0</v>
      </c>
    </row>
    <row r="276" spans="1:15" ht="64.5" customHeight="1">
      <c r="A276" s="69" t="s">
        <v>936</v>
      </c>
      <c r="B276" s="21" t="s">
        <v>293</v>
      </c>
      <c r="C276" s="21" t="s">
        <v>327</v>
      </c>
      <c r="D276" s="21" t="s">
        <v>1366</v>
      </c>
      <c r="E276" s="21" t="s">
        <v>68</v>
      </c>
      <c r="F276" s="21" t="s">
        <v>119</v>
      </c>
      <c r="G276" s="133" t="s">
        <v>962</v>
      </c>
      <c r="H276" s="21" t="s">
        <v>164</v>
      </c>
      <c r="I276" s="85"/>
      <c r="J276" s="165"/>
      <c r="K276" s="236">
        <v>0</v>
      </c>
      <c r="L276" s="201"/>
      <c r="M276" s="236">
        <v>0</v>
      </c>
      <c r="N276" s="442">
        <f t="shared" si="4"/>
        <v>0</v>
      </c>
      <c r="O276" s="440">
        <v>0</v>
      </c>
    </row>
    <row r="277" spans="1:15" ht="15.75">
      <c r="A277" s="233" t="s">
        <v>1197</v>
      </c>
      <c r="B277" s="234"/>
      <c r="C277" s="234"/>
      <c r="D277" s="234"/>
      <c r="E277" s="234"/>
      <c r="F277" s="234"/>
      <c r="G277" s="234"/>
      <c r="H277" s="234"/>
      <c r="I277" s="205" t="e">
        <f>I11+#REF!+I155+I166+I251+I268</f>
        <v>#REF!</v>
      </c>
      <c r="J277" s="434">
        <f>J11+J155+J166+J251+J268</f>
        <v>2449652.19</v>
      </c>
      <c r="K277" s="191">
        <f>K11+K155+K166+K251+K268</f>
        <v>415317038.3000001</v>
      </c>
      <c r="L277" s="191" t="e">
        <f>L11+L155+L166+L251+L268</f>
        <v>#REF!</v>
      </c>
      <c r="M277" s="191">
        <f>M11+M155+M166+M251+M268</f>
        <v>322062935.84000003</v>
      </c>
      <c r="N277" s="442">
        <f t="shared" si="4"/>
        <v>324512588.03000003</v>
      </c>
      <c r="O277" s="440">
        <v>393166312.22</v>
      </c>
    </row>
    <row r="278" ht="15.75">
      <c r="K278" s="324"/>
    </row>
    <row r="279" ht="15.75">
      <c r="K279" s="324"/>
    </row>
    <row r="280" ht="15.75">
      <c r="K280" s="324"/>
    </row>
    <row r="281" spans="10:11" ht="31.5" customHeight="1" hidden="1">
      <c r="J281" s="441" t="s">
        <v>1310</v>
      </c>
      <c r="K281" s="192">
        <v>2020</v>
      </c>
    </row>
    <row r="282" spans="10:13" ht="31.5" customHeight="1" hidden="1">
      <c r="J282" s="193" t="s">
        <v>1311</v>
      </c>
      <c r="K282" s="193">
        <v>68492444</v>
      </c>
      <c r="L282" s="207" t="s">
        <v>1320</v>
      </c>
      <c r="M282" s="208" t="e">
        <f>K286-#REF!</f>
        <v>#REF!</v>
      </c>
    </row>
    <row r="283" spans="10:11" ht="31.5" customHeight="1" hidden="1">
      <c r="J283" s="193" t="s">
        <v>1312</v>
      </c>
      <c r="K283" s="193">
        <v>108400700</v>
      </c>
    </row>
    <row r="284" spans="10:11" ht="31.5" customHeight="1" hidden="1">
      <c r="J284" s="165" t="s">
        <v>1314</v>
      </c>
      <c r="K284" s="193">
        <v>12587230</v>
      </c>
    </row>
    <row r="285" spans="10:11" ht="31.5" customHeight="1" hidden="1">
      <c r="J285" s="165" t="s">
        <v>1315</v>
      </c>
      <c r="K285" s="193">
        <v>69684.75</v>
      </c>
    </row>
    <row r="286" spans="10:11" ht="31.5" customHeight="1" hidden="1">
      <c r="J286" s="194" t="s">
        <v>1313</v>
      </c>
      <c r="K286" s="194">
        <f>K282+K283+K284+K285</f>
        <v>189550058.75</v>
      </c>
    </row>
    <row r="287" ht="15.75" hidden="1">
      <c r="K287" s="324"/>
    </row>
    <row r="288" ht="55.5" customHeight="1" hidden="1">
      <c r="K288" s="324"/>
    </row>
    <row r="289" spans="1:11" ht="33" customHeight="1" hidden="1">
      <c r="A289" s="195" t="s">
        <v>762</v>
      </c>
      <c r="B289" s="196" t="s">
        <v>153</v>
      </c>
      <c r="C289" s="196" t="s">
        <v>315</v>
      </c>
      <c r="D289" s="196" t="s">
        <v>162</v>
      </c>
      <c r="E289" s="196" t="s">
        <v>118</v>
      </c>
      <c r="F289" s="196" t="s">
        <v>498</v>
      </c>
      <c r="G289" s="196" t="s">
        <v>763</v>
      </c>
      <c r="H289" s="196" t="s">
        <v>164</v>
      </c>
      <c r="I289" s="197"/>
      <c r="J289" s="198"/>
      <c r="K289" s="199">
        <v>4289425.6</v>
      </c>
    </row>
    <row r="290" ht="15.75">
      <c r="K290" s="324"/>
    </row>
    <row r="291" ht="15.75">
      <c r="K291" s="324"/>
    </row>
    <row r="292" ht="15.75">
      <c r="K292" s="324"/>
    </row>
    <row r="293" ht="15.75">
      <c r="K293" s="324"/>
    </row>
    <row r="294" ht="15.75">
      <c r="K294" s="324"/>
    </row>
    <row r="295" ht="15.75">
      <c r="K295" s="324"/>
    </row>
    <row r="296" ht="15.75">
      <c r="K296" s="324"/>
    </row>
    <row r="297" ht="15.75">
      <c r="K297" s="324"/>
    </row>
    <row r="298" ht="15.75">
      <c r="K298" s="324"/>
    </row>
    <row r="299" ht="15.75">
      <c r="K299" s="324"/>
    </row>
    <row r="300" ht="15.75">
      <c r="K300" s="324"/>
    </row>
    <row r="301" ht="15.75">
      <c r="K301" s="324"/>
    </row>
    <row r="302" ht="15.75">
      <c r="K302" s="324"/>
    </row>
    <row r="303" ht="15.75">
      <c r="K303" s="324"/>
    </row>
    <row r="304" ht="15.75">
      <c r="K304" s="324"/>
    </row>
    <row r="305" ht="15.75">
      <c r="K305" s="324"/>
    </row>
    <row r="306" ht="15.75">
      <c r="K306" s="324"/>
    </row>
    <row r="307" ht="15.75">
      <c r="K307" s="324"/>
    </row>
    <row r="308" ht="15.75">
      <c r="K308" s="324"/>
    </row>
    <row r="309" ht="15.75">
      <c r="K309" s="324"/>
    </row>
    <row r="310" ht="15.75">
      <c r="K310" s="324"/>
    </row>
    <row r="311" ht="15.75">
      <c r="K311" s="324"/>
    </row>
    <row r="312" ht="15.75">
      <c r="K312" s="324"/>
    </row>
    <row r="313" ht="15.75">
      <c r="K313" s="324"/>
    </row>
    <row r="314" ht="15.75">
      <c r="K314" s="324"/>
    </row>
    <row r="315" ht="15.75">
      <c r="K315" s="324"/>
    </row>
    <row r="316" ht="15.75">
      <c r="K316" s="324"/>
    </row>
    <row r="317" ht="15.75">
      <c r="K317" s="324"/>
    </row>
    <row r="318" ht="15.75">
      <c r="K318" s="324"/>
    </row>
    <row r="319" ht="15.75">
      <c r="K319" s="324"/>
    </row>
  </sheetData>
  <sheetProtection/>
  <mergeCells count="11">
    <mergeCell ref="M9:M10"/>
    <mergeCell ref="I8:L8"/>
    <mergeCell ref="C8:C9"/>
    <mergeCell ref="H8:H9"/>
    <mergeCell ref="D8:G8"/>
    <mergeCell ref="B2:K2"/>
    <mergeCell ref="B1:K1"/>
    <mergeCell ref="B3:K3"/>
    <mergeCell ref="A5:K6"/>
    <mergeCell ref="A8:A9"/>
    <mergeCell ref="B8:B9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0"/>
  <sheetViews>
    <sheetView view="pageBreakPreview" zoomScale="60" zoomScaleNormal="80" zoomScalePageLayoutView="0" workbookViewId="0" topLeftCell="A1">
      <selection activeCell="J199" sqref="J199"/>
    </sheetView>
  </sheetViews>
  <sheetFormatPr defaultColWidth="9.140625" defaultRowHeight="12.75"/>
  <cols>
    <col min="1" max="1" width="60.00390625" style="123" customWidth="1"/>
    <col min="2" max="3" width="14.00390625" style="123" customWidth="1"/>
    <col min="4" max="4" width="5.7109375" style="123" customWidth="1"/>
    <col min="5" max="6" width="5.140625" style="123" customWidth="1"/>
    <col min="7" max="7" width="15.28125" style="123" customWidth="1"/>
    <col min="8" max="8" width="14.421875" style="123" customWidth="1"/>
    <col min="9" max="9" width="14.421875" style="123" hidden="1" customWidth="1"/>
    <col min="10" max="10" width="18.140625" style="123" customWidth="1"/>
    <col min="11" max="11" width="17.57421875" style="19" customWidth="1"/>
    <col min="12" max="12" width="17.7109375" style="388" hidden="1" customWidth="1"/>
    <col min="13" max="13" width="17.140625" style="403" hidden="1" customWidth="1"/>
    <col min="14" max="14" width="0" style="123" hidden="1" customWidth="1"/>
    <col min="15" max="16" width="16.57421875" style="440" hidden="1" customWidth="1"/>
    <col min="17" max="17" width="24.140625" style="440" customWidth="1"/>
    <col min="18" max="18" width="20.8515625" style="440" customWidth="1"/>
    <col min="19" max="19" width="9.140625" style="123" customWidth="1"/>
    <col min="20" max="20" width="15.57421875" style="123" bestFit="1" customWidth="1"/>
    <col min="21" max="21" width="17.57421875" style="123" customWidth="1"/>
    <col min="22" max="16384" width="9.140625" style="123" customWidth="1"/>
  </cols>
  <sheetData>
    <row r="1" spans="1:13" ht="15.75">
      <c r="A1" s="16"/>
      <c r="B1" s="551" t="s">
        <v>973</v>
      </c>
      <c r="C1" s="551"/>
      <c r="D1" s="551"/>
      <c r="E1" s="551"/>
      <c r="F1" s="551"/>
      <c r="G1" s="551"/>
      <c r="H1" s="551"/>
      <c r="I1" s="551"/>
      <c r="J1" s="551"/>
      <c r="K1" s="551"/>
      <c r="M1" s="388"/>
    </row>
    <row r="2" spans="1:13" ht="15.75">
      <c r="A2" s="17"/>
      <c r="B2" s="551" t="s">
        <v>156</v>
      </c>
      <c r="C2" s="551"/>
      <c r="D2" s="551"/>
      <c r="E2" s="551"/>
      <c r="F2" s="551"/>
      <c r="G2" s="551"/>
      <c r="H2" s="551"/>
      <c r="I2" s="551"/>
      <c r="J2" s="551"/>
      <c r="K2" s="551"/>
      <c r="M2" s="388"/>
    </row>
    <row r="3" spans="1:13" ht="15.75">
      <c r="A3" s="18"/>
      <c r="B3" s="551" t="s">
        <v>1441</v>
      </c>
      <c r="C3" s="551"/>
      <c r="D3" s="551"/>
      <c r="E3" s="551"/>
      <c r="F3" s="551"/>
      <c r="G3" s="551"/>
      <c r="H3" s="551"/>
      <c r="I3" s="551"/>
      <c r="J3" s="551"/>
      <c r="K3" s="551"/>
      <c r="M3" s="388"/>
    </row>
    <row r="4" spans="1:12" ht="15">
      <c r="A4" s="18"/>
      <c r="B4" s="18"/>
      <c r="C4" s="18"/>
      <c r="D4" s="18"/>
      <c r="E4" s="18"/>
      <c r="F4" s="18"/>
      <c r="G4" s="18"/>
      <c r="H4" s="18"/>
      <c r="I4" s="18"/>
      <c r="J4" s="18"/>
      <c r="L4" s="402"/>
    </row>
    <row r="5" spans="1:13" ht="12.75">
      <c r="A5" s="520" t="s">
        <v>1294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M5" s="388"/>
    </row>
    <row r="6" spans="1:13" ht="21" customHeight="1">
      <c r="A6" s="520"/>
      <c r="B6" s="520"/>
      <c r="C6" s="520"/>
      <c r="D6" s="520"/>
      <c r="E6" s="520"/>
      <c r="F6" s="520"/>
      <c r="G6" s="520"/>
      <c r="H6" s="520"/>
      <c r="I6" s="520"/>
      <c r="J6" s="520"/>
      <c r="K6" s="520"/>
      <c r="M6" s="388"/>
    </row>
    <row r="7" spans="1:13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33"/>
      <c r="L7" s="402"/>
      <c r="M7" s="404"/>
    </row>
    <row r="8" spans="1:13" ht="20.25" customHeight="1">
      <c r="A8" s="552" t="s">
        <v>158</v>
      </c>
      <c r="B8" s="552" t="s">
        <v>157</v>
      </c>
      <c r="C8" s="552" t="s">
        <v>280</v>
      </c>
      <c r="D8" s="552" t="s">
        <v>281</v>
      </c>
      <c r="E8" s="552"/>
      <c r="F8" s="552"/>
      <c r="G8" s="552"/>
      <c r="H8" s="552" t="s">
        <v>282</v>
      </c>
      <c r="I8" s="548" t="s">
        <v>209</v>
      </c>
      <c r="J8" s="548"/>
      <c r="K8" s="548"/>
      <c r="L8" s="555" t="s">
        <v>1449</v>
      </c>
      <c r="M8" s="556"/>
    </row>
    <row r="9" spans="1:13" ht="25.5">
      <c r="A9" s="552"/>
      <c r="B9" s="552"/>
      <c r="C9" s="552"/>
      <c r="D9" s="230" t="s">
        <v>102</v>
      </c>
      <c r="E9" s="230" t="s">
        <v>103</v>
      </c>
      <c r="F9" s="230" t="s">
        <v>488</v>
      </c>
      <c r="G9" s="230" t="s">
        <v>489</v>
      </c>
      <c r="H9" s="552"/>
      <c r="I9" s="214" t="s">
        <v>227</v>
      </c>
      <c r="J9" s="262" t="s">
        <v>641</v>
      </c>
      <c r="K9" s="263" t="s">
        <v>642</v>
      </c>
      <c r="L9" s="399" t="s">
        <v>641</v>
      </c>
      <c r="M9" s="400" t="s">
        <v>642</v>
      </c>
    </row>
    <row r="10" spans="1:13" ht="15.75">
      <c r="A10" s="231" t="s">
        <v>68</v>
      </c>
      <c r="B10" s="231" t="s">
        <v>60</v>
      </c>
      <c r="C10" s="231" t="s">
        <v>232</v>
      </c>
      <c r="D10" s="231" t="s">
        <v>143</v>
      </c>
      <c r="E10" s="231" t="s">
        <v>92</v>
      </c>
      <c r="F10" s="231">
        <v>6</v>
      </c>
      <c r="G10" s="231">
        <v>7</v>
      </c>
      <c r="H10" s="231">
        <v>8</v>
      </c>
      <c r="I10" s="231" t="s">
        <v>93</v>
      </c>
      <c r="J10" s="231">
        <v>9</v>
      </c>
      <c r="K10" s="232">
        <v>10</v>
      </c>
      <c r="L10" s="405">
        <v>9</v>
      </c>
      <c r="M10" s="406">
        <v>10</v>
      </c>
    </row>
    <row r="11" spans="1:13" ht="15.75">
      <c r="A11" s="233" t="s">
        <v>154</v>
      </c>
      <c r="B11" s="234" t="s">
        <v>153</v>
      </c>
      <c r="C11" s="234"/>
      <c r="D11" s="234"/>
      <c r="E11" s="234"/>
      <c r="F11" s="234"/>
      <c r="G11" s="234"/>
      <c r="H11" s="234"/>
      <c r="I11" s="508" t="e">
        <f>I12+I44+I47+I69+I84+I90+I102+I113</f>
        <v>#REF!</v>
      </c>
      <c r="J11" s="205">
        <f>J12+J49+J52+J79+J102+J109+J127+J140</f>
        <v>78856411.75000001</v>
      </c>
      <c r="K11" s="205">
        <f>K12+K49+K52+K79+K102+K109+K127+K140</f>
        <v>73356574.08</v>
      </c>
      <c r="L11" s="407">
        <f>L12+L49+L52+L79+L102+L109+L127+L140</f>
        <v>72307459.55</v>
      </c>
      <c r="M11" s="407">
        <f>M12+M49+M52+M79+M102+M109+M127+M140</f>
        <v>63831883.81999999</v>
      </c>
    </row>
    <row r="12" spans="1:13" ht="15.75">
      <c r="A12" s="235" t="s">
        <v>283</v>
      </c>
      <c r="B12" s="23" t="s">
        <v>153</v>
      </c>
      <c r="C12" s="23" t="s">
        <v>284</v>
      </c>
      <c r="D12" s="23"/>
      <c r="E12" s="23"/>
      <c r="F12" s="23"/>
      <c r="G12" s="23"/>
      <c r="H12" s="23"/>
      <c r="I12" s="70" t="e">
        <f>I15+#REF!</f>
        <v>#REF!</v>
      </c>
      <c r="J12" s="24">
        <f>J13+J15+J22</f>
        <v>39213601.17</v>
      </c>
      <c r="K12" s="24">
        <f>K13+K15+K22</f>
        <v>35540507.19</v>
      </c>
      <c r="L12" s="408">
        <f>L13+L15+L22</f>
        <v>39213601.17</v>
      </c>
      <c r="M12" s="408">
        <f>M13+M15+M22</f>
        <v>36797007.19</v>
      </c>
    </row>
    <row r="13" spans="1:13" ht="48.75" customHeight="1">
      <c r="A13" s="235" t="s">
        <v>251</v>
      </c>
      <c r="B13" s="23" t="s">
        <v>153</v>
      </c>
      <c r="C13" s="23" t="s">
        <v>128</v>
      </c>
      <c r="D13" s="23"/>
      <c r="E13" s="23"/>
      <c r="F13" s="23"/>
      <c r="G13" s="23"/>
      <c r="H13" s="23"/>
      <c r="I13" s="70">
        <f>I14</f>
        <v>0</v>
      </c>
      <c r="J13" s="157">
        <f>J14</f>
        <v>1298844</v>
      </c>
      <c r="K13" s="157">
        <f>K14</f>
        <v>1298844</v>
      </c>
      <c r="L13" s="391">
        <f>L14</f>
        <v>1298844</v>
      </c>
      <c r="M13" s="391">
        <f>M14</f>
        <v>1298844</v>
      </c>
    </row>
    <row r="14" spans="1:13" ht="81" customHeight="1">
      <c r="A14" s="64" t="s">
        <v>552</v>
      </c>
      <c r="B14" s="22" t="s">
        <v>153</v>
      </c>
      <c r="C14" s="22" t="s">
        <v>128</v>
      </c>
      <c r="D14" s="22" t="s">
        <v>119</v>
      </c>
      <c r="E14" s="22" t="s">
        <v>60</v>
      </c>
      <c r="F14" s="22" t="s">
        <v>69</v>
      </c>
      <c r="G14" s="22" t="s">
        <v>491</v>
      </c>
      <c r="H14" s="22" t="s">
        <v>163</v>
      </c>
      <c r="I14" s="85"/>
      <c r="J14" s="236">
        <v>1298844</v>
      </c>
      <c r="K14" s="236">
        <v>1298844</v>
      </c>
      <c r="L14" s="397">
        <v>1298844</v>
      </c>
      <c r="M14" s="397">
        <v>1298844</v>
      </c>
    </row>
    <row r="15" spans="1:13" ht="70.5" customHeight="1">
      <c r="A15" s="235" t="s">
        <v>285</v>
      </c>
      <c r="B15" s="23" t="s">
        <v>153</v>
      </c>
      <c r="C15" s="23" t="s">
        <v>286</v>
      </c>
      <c r="D15" s="23"/>
      <c r="E15" s="23"/>
      <c r="F15" s="23"/>
      <c r="G15" s="23"/>
      <c r="H15" s="23"/>
      <c r="I15" s="70">
        <f>SUM(I16:I21)</f>
        <v>-635.0999999999999</v>
      </c>
      <c r="J15" s="157">
        <f>SUM(J16:J21)</f>
        <v>21728570.95</v>
      </c>
      <c r="K15" s="157">
        <f>SUM(K16:K21)</f>
        <v>21619393.42</v>
      </c>
      <c r="L15" s="391">
        <f>SUM(L16:L21)</f>
        <v>21728570.95</v>
      </c>
      <c r="M15" s="391">
        <f>SUM(M16:M21)</f>
        <v>21619393.42</v>
      </c>
    </row>
    <row r="16" spans="1:13" ht="94.5">
      <c r="A16" s="64" t="s">
        <v>487</v>
      </c>
      <c r="B16" s="22" t="s">
        <v>153</v>
      </c>
      <c r="C16" s="22" t="s">
        <v>286</v>
      </c>
      <c r="D16" s="22" t="s">
        <v>119</v>
      </c>
      <c r="E16" s="22" t="s">
        <v>60</v>
      </c>
      <c r="F16" s="22" t="s">
        <v>119</v>
      </c>
      <c r="G16" s="22" t="s">
        <v>490</v>
      </c>
      <c r="H16" s="22" t="s">
        <v>163</v>
      </c>
      <c r="I16" s="86">
        <v>446.5</v>
      </c>
      <c r="J16" s="236">
        <v>19682854.39</v>
      </c>
      <c r="K16" s="236">
        <v>19682854.39</v>
      </c>
      <c r="L16" s="397">
        <v>19682854.39</v>
      </c>
      <c r="M16" s="397">
        <v>19682854.39</v>
      </c>
    </row>
    <row r="17" spans="1:13" ht="48.75" customHeight="1">
      <c r="A17" s="64" t="s">
        <v>590</v>
      </c>
      <c r="B17" s="22" t="s">
        <v>153</v>
      </c>
      <c r="C17" s="22" t="s">
        <v>286</v>
      </c>
      <c r="D17" s="22" t="s">
        <v>119</v>
      </c>
      <c r="E17" s="22" t="s">
        <v>60</v>
      </c>
      <c r="F17" s="22" t="s">
        <v>119</v>
      </c>
      <c r="G17" s="22" t="s">
        <v>490</v>
      </c>
      <c r="H17" s="22" t="s">
        <v>164</v>
      </c>
      <c r="I17" s="86">
        <v>-1281.6</v>
      </c>
      <c r="J17" s="135">
        <v>1584458.5599999998</v>
      </c>
      <c r="K17" s="135">
        <f>1575281.03-50000-50000</f>
        <v>1475281.03</v>
      </c>
      <c r="L17" s="393">
        <v>1584458.5599999998</v>
      </c>
      <c r="M17" s="393">
        <f>1575281.03-50000-50000</f>
        <v>1475281.03</v>
      </c>
    </row>
    <row r="18" spans="1:13" ht="50.25" customHeight="1">
      <c r="A18" s="64" t="s">
        <v>1019</v>
      </c>
      <c r="B18" s="22" t="s">
        <v>153</v>
      </c>
      <c r="C18" s="22" t="s">
        <v>286</v>
      </c>
      <c r="D18" s="22" t="s">
        <v>119</v>
      </c>
      <c r="E18" s="22" t="s">
        <v>60</v>
      </c>
      <c r="F18" s="22" t="s">
        <v>119</v>
      </c>
      <c r="G18" s="22" t="s">
        <v>490</v>
      </c>
      <c r="H18" s="22" t="s">
        <v>110</v>
      </c>
      <c r="I18" s="86"/>
      <c r="J18" s="253"/>
      <c r="K18" s="253"/>
      <c r="L18" s="409"/>
      <c r="M18" s="409"/>
    </row>
    <row r="19" spans="1:13" ht="37.5" customHeight="1">
      <c r="A19" s="64" t="s">
        <v>356</v>
      </c>
      <c r="B19" s="22" t="s">
        <v>153</v>
      </c>
      <c r="C19" s="22" t="s">
        <v>286</v>
      </c>
      <c r="D19" s="22" t="s">
        <v>119</v>
      </c>
      <c r="E19" s="22" t="s">
        <v>60</v>
      </c>
      <c r="F19" s="22" t="s">
        <v>119</v>
      </c>
      <c r="G19" s="22" t="s">
        <v>490</v>
      </c>
      <c r="H19" s="22" t="s">
        <v>165</v>
      </c>
      <c r="I19" s="86">
        <v>200</v>
      </c>
      <c r="J19" s="236">
        <v>58000</v>
      </c>
      <c r="K19" s="236">
        <v>58000</v>
      </c>
      <c r="L19" s="397">
        <v>58000</v>
      </c>
      <c r="M19" s="397">
        <v>58000</v>
      </c>
    </row>
    <row r="20" spans="1:13" ht="110.25">
      <c r="A20" s="221" t="s">
        <v>557</v>
      </c>
      <c r="B20" s="133" t="s">
        <v>153</v>
      </c>
      <c r="C20" s="133" t="s">
        <v>286</v>
      </c>
      <c r="D20" s="133">
        <v>11</v>
      </c>
      <c r="E20" s="133" t="s">
        <v>68</v>
      </c>
      <c r="F20" s="133" t="s">
        <v>119</v>
      </c>
      <c r="G20" s="133" t="s">
        <v>492</v>
      </c>
      <c r="H20" s="133" t="s">
        <v>163</v>
      </c>
      <c r="I20" s="164">
        <v>5.3</v>
      </c>
      <c r="J20" s="253">
        <v>399528</v>
      </c>
      <c r="K20" s="253">
        <v>399528</v>
      </c>
      <c r="L20" s="409">
        <v>399528</v>
      </c>
      <c r="M20" s="409">
        <v>399528</v>
      </c>
    </row>
    <row r="21" spans="1:13" ht="63">
      <c r="A21" s="221" t="s">
        <v>599</v>
      </c>
      <c r="B21" s="133" t="s">
        <v>153</v>
      </c>
      <c r="C21" s="133" t="s">
        <v>286</v>
      </c>
      <c r="D21" s="133">
        <v>11</v>
      </c>
      <c r="E21" s="133" t="s">
        <v>68</v>
      </c>
      <c r="F21" s="133" t="s">
        <v>119</v>
      </c>
      <c r="G21" s="133" t="s">
        <v>492</v>
      </c>
      <c r="H21" s="133" t="s">
        <v>164</v>
      </c>
      <c r="I21" s="164">
        <v>-5.3</v>
      </c>
      <c r="J21" s="253">
        <v>3730</v>
      </c>
      <c r="K21" s="253">
        <v>3730</v>
      </c>
      <c r="L21" s="409">
        <v>3730</v>
      </c>
      <c r="M21" s="409">
        <v>3730</v>
      </c>
    </row>
    <row r="22" spans="1:13" ht="15.75">
      <c r="A22" s="235" t="s">
        <v>314</v>
      </c>
      <c r="B22" s="23" t="s">
        <v>153</v>
      </c>
      <c r="C22" s="23" t="s">
        <v>315</v>
      </c>
      <c r="D22" s="23"/>
      <c r="E22" s="23"/>
      <c r="F22" s="23"/>
      <c r="G22" s="23"/>
      <c r="H22" s="23"/>
      <c r="I22" s="101"/>
      <c r="J22" s="241">
        <f>SUM(J23:J48)</f>
        <v>16186186.22</v>
      </c>
      <c r="K22" s="241">
        <f>SUM(K23:K48)</f>
        <v>12622269.77</v>
      </c>
      <c r="L22" s="410">
        <f>SUM(L23:L48)</f>
        <v>16186186.22</v>
      </c>
      <c r="M22" s="410">
        <f>SUM(M23:M48)</f>
        <v>13878769.77</v>
      </c>
    </row>
    <row r="23" spans="1:13" ht="110.25">
      <c r="A23" s="266" t="s">
        <v>966</v>
      </c>
      <c r="B23" s="133" t="s">
        <v>153</v>
      </c>
      <c r="C23" s="133" t="s">
        <v>315</v>
      </c>
      <c r="D23" s="133" t="s">
        <v>119</v>
      </c>
      <c r="E23" s="133" t="s">
        <v>143</v>
      </c>
      <c r="F23" s="133" t="s">
        <v>69</v>
      </c>
      <c r="G23" s="133" t="s">
        <v>560</v>
      </c>
      <c r="H23" s="133" t="s">
        <v>163</v>
      </c>
      <c r="I23" s="254"/>
      <c r="J23" s="236">
        <v>3756619</v>
      </c>
      <c r="K23" s="236">
        <v>3756619</v>
      </c>
      <c r="L23" s="397">
        <v>3756619</v>
      </c>
      <c r="M23" s="397">
        <v>3756619</v>
      </c>
    </row>
    <row r="24" spans="1:13" ht="86.25" customHeight="1">
      <c r="A24" s="266" t="s">
        <v>964</v>
      </c>
      <c r="B24" s="133" t="s">
        <v>153</v>
      </c>
      <c r="C24" s="133" t="s">
        <v>315</v>
      </c>
      <c r="D24" s="133" t="s">
        <v>119</v>
      </c>
      <c r="E24" s="133" t="s">
        <v>143</v>
      </c>
      <c r="F24" s="133" t="s">
        <v>69</v>
      </c>
      <c r="G24" s="133" t="s">
        <v>560</v>
      </c>
      <c r="H24" s="133" t="s">
        <v>164</v>
      </c>
      <c r="I24" s="164"/>
      <c r="J24" s="236">
        <v>3895158.76</v>
      </c>
      <c r="K24" s="236">
        <f>3725609.17-50000</f>
        <v>3675609.17</v>
      </c>
      <c r="L24" s="397">
        <v>3895158.76</v>
      </c>
      <c r="M24" s="397">
        <f>3725609.17-50000</f>
        <v>3675609.17</v>
      </c>
    </row>
    <row r="25" spans="1:13" ht="47.25">
      <c r="A25" s="266" t="s">
        <v>965</v>
      </c>
      <c r="B25" s="133" t="s">
        <v>153</v>
      </c>
      <c r="C25" s="133" t="s">
        <v>315</v>
      </c>
      <c r="D25" s="133" t="s">
        <v>119</v>
      </c>
      <c r="E25" s="133" t="s">
        <v>143</v>
      </c>
      <c r="F25" s="133" t="s">
        <v>69</v>
      </c>
      <c r="G25" s="133" t="s">
        <v>560</v>
      </c>
      <c r="H25" s="133" t="s">
        <v>165</v>
      </c>
      <c r="I25" s="254"/>
      <c r="J25" s="138">
        <v>132000</v>
      </c>
      <c r="K25" s="138">
        <v>132000</v>
      </c>
      <c r="L25" s="411">
        <v>132000</v>
      </c>
      <c r="M25" s="411">
        <v>132000</v>
      </c>
    </row>
    <row r="26" spans="1:13" ht="63">
      <c r="A26" s="221" t="s">
        <v>598</v>
      </c>
      <c r="B26" s="133" t="s">
        <v>153</v>
      </c>
      <c r="C26" s="133" t="s">
        <v>315</v>
      </c>
      <c r="D26" s="133">
        <v>11</v>
      </c>
      <c r="E26" s="133" t="s">
        <v>68</v>
      </c>
      <c r="F26" s="133" t="s">
        <v>119</v>
      </c>
      <c r="G26" s="133" t="s">
        <v>493</v>
      </c>
      <c r="H26" s="133" t="s">
        <v>164</v>
      </c>
      <c r="I26" s="164">
        <v>-13.8</v>
      </c>
      <c r="J26" s="236">
        <v>10666.5</v>
      </c>
      <c r="K26" s="236">
        <v>10666.5</v>
      </c>
      <c r="L26" s="397">
        <v>10666.5</v>
      </c>
      <c r="M26" s="397">
        <v>10666.5</v>
      </c>
    </row>
    <row r="27" spans="1:13" ht="62.25" customHeight="1">
      <c r="A27" s="221" t="s">
        <v>596</v>
      </c>
      <c r="B27" s="133" t="s">
        <v>153</v>
      </c>
      <c r="C27" s="133" t="s">
        <v>315</v>
      </c>
      <c r="D27" s="133" t="s">
        <v>119</v>
      </c>
      <c r="E27" s="133" t="s">
        <v>60</v>
      </c>
      <c r="F27" s="133" t="s">
        <v>241</v>
      </c>
      <c r="G27" s="133" t="s">
        <v>494</v>
      </c>
      <c r="H27" s="133" t="s">
        <v>164</v>
      </c>
      <c r="I27" s="164">
        <v>-360</v>
      </c>
      <c r="J27" s="135">
        <v>562874.4</v>
      </c>
      <c r="K27" s="135">
        <v>547074</v>
      </c>
      <c r="L27" s="393">
        <v>562874.4</v>
      </c>
      <c r="M27" s="393">
        <v>547074</v>
      </c>
    </row>
    <row r="28" spans="1:13" ht="72" customHeight="1">
      <c r="A28" s="221" t="s">
        <v>595</v>
      </c>
      <c r="B28" s="133" t="s">
        <v>153</v>
      </c>
      <c r="C28" s="133" t="s">
        <v>315</v>
      </c>
      <c r="D28" s="133" t="s">
        <v>119</v>
      </c>
      <c r="E28" s="133" t="s">
        <v>60</v>
      </c>
      <c r="F28" s="133" t="s">
        <v>119</v>
      </c>
      <c r="G28" s="133" t="s">
        <v>495</v>
      </c>
      <c r="H28" s="133" t="s">
        <v>164</v>
      </c>
      <c r="I28" s="164"/>
      <c r="J28" s="236">
        <v>296800</v>
      </c>
      <c r="K28" s="236">
        <v>296800</v>
      </c>
      <c r="L28" s="397">
        <v>296800</v>
      </c>
      <c r="M28" s="397">
        <v>296800</v>
      </c>
    </row>
    <row r="29" spans="1:13" ht="47.25">
      <c r="A29" s="221" t="s">
        <v>618</v>
      </c>
      <c r="B29" s="247">
        <v>900</v>
      </c>
      <c r="C29" s="248" t="s">
        <v>315</v>
      </c>
      <c r="D29" s="248" t="s">
        <v>119</v>
      </c>
      <c r="E29" s="248" t="s">
        <v>60</v>
      </c>
      <c r="F29" s="248" t="s">
        <v>119</v>
      </c>
      <c r="G29" s="248" t="s">
        <v>1325</v>
      </c>
      <c r="H29" s="248" t="s">
        <v>110</v>
      </c>
      <c r="I29" s="164"/>
      <c r="J29" s="236">
        <v>9000</v>
      </c>
      <c r="K29" s="236">
        <v>9000</v>
      </c>
      <c r="L29" s="397">
        <v>9000</v>
      </c>
      <c r="M29" s="397">
        <v>9000</v>
      </c>
    </row>
    <row r="30" spans="1:13" ht="79.5" customHeight="1">
      <c r="A30" s="223" t="s">
        <v>611</v>
      </c>
      <c r="B30" s="133" t="s">
        <v>153</v>
      </c>
      <c r="C30" s="133" t="s">
        <v>315</v>
      </c>
      <c r="D30" s="133" t="s">
        <v>69</v>
      </c>
      <c r="E30" s="133" t="s">
        <v>68</v>
      </c>
      <c r="F30" s="133" t="s">
        <v>69</v>
      </c>
      <c r="G30" s="133" t="s">
        <v>496</v>
      </c>
      <c r="H30" s="133" t="s">
        <v>164</v>
      </c>
      <c r="I30" s="164"/>
      <c r="J30" s="138">
        <v>700000</v>
      </c>
      <c r="K30" s="138">
        <v>700000</v>
      </c>
      <c r="L30" s="411">
        <v>700000</v>
      </c>
      <c r="M30" s="411">
        <v>700000</v>
      </c>
    </row>
    <row r="31" spans="1:13" ht="79.5" customHeight="1">
      <c r="A31" s="223" t="s">
        <v>664</v>
      </c>
      <c r="B31" s="133" t="s">
        <v>153</v>
      </c>
      <c r="C31" s="133" t="s">
        <v>315</v>
      </c>
      <c r="D31" s="133" t="s">
        <v>61</v>
      </c>
      <c r="E31" s="133" t="s">
        <v>60</v>
      </c>
      <c r="F31" s="133" t="s">
        <v>119</v>
      </c>
      <c r="G31" s="133" t="s">
        <v>679</v>
      </c>
      <c r="H31" s="133" t="s">
        <v>164</v>
      </c>
      <c r="I31" s="164"/>
      <c r="J31" s="135">
        <v>1484164</v>
      </c>
      <c r="K31" s="135">
        <v>227664</v>
      </c>
      <c r="L31" s="393">
        <v>1484164</v>
      </c>
      <c r="M31" s="393">
        <v>1484164</v>
      </c>
    </row>
    <row r="32" spans="1:13" ht="114" customHeight="1">
      <c r="A32" s="221" t="s">
        <v>950</v>
      </c>
      <c r="B32" s="133" t="s">
        <v>153</v>
      </c>
      <c r="C32" s="133" t="s">
        <v>315</v>
      </c>
      <c r="D32" s="133" t="s">
        <v>119</v>
      </c>
      <c r="E32" s="133" t="s">
        <v>68</v>
      </c>
      <c r="F32" s="133" t="s">
        <v>69</v>
      </c>
      <c r="G32" s="133" t="s">
        <v>497</v>
      </c>
      <c r="H32" s="133" t="s">
        <v>164</v>
      </c>
      <c r="I32" s="164"/>
      <c r="J32" s="236">
        <v>81200</v>
      </c>
      <c r="K32" s="236">
        <v>81200</v>
      </c>
      <c r="L32" s="397">
        <v>81200</v>
      </c>
      <c r="M32" s="397">
        <v>81200</v>
      </c>
    </row>
    <row r="33" spans="1:13" ht="48.75" customHeight="1">
      <c r="A33" s="249" t="s">
        <v>622</v>
      </c>
      <c r="B33" s="133" t="s">
        <v>153</v>
      </c>
      <c r="C33" s="133" t="s">
        <v>315</v>
      </c>
      <c r="D33" s="133" t="s">
        <v>162</v>
      </c>
      <c r="E33" s="133" t="s">
        <v>118</v>
      </c>
      <c r="F33" s="133" t="s">
        <v>498</v>
      </c>
      <c r="G33" s="133" t="s">
        <v>499</v>
      </c>
      <c r="H33" s="133" t="s">
        <v>165</v>
      </c>
      <c r="I33" s="164"/>
      <c r="J33" s="236">
        <v>44022</v>
      </c>
      <c r="K33" s="236">
        <v>44022</v>
      </c>
      <c r="L33" s="397">
        <v>44022</v>
      </c>
      <c r="M33" s="397">
        <v>44022</v>
      </c>
    </row>
    <row r="34" spans="1:13" ht="95.25" customHeight="1">
      <c r="A34" s="249" t="s">
        <v>999</v>
      </c>
      <c r="B34" s="133" t="s">
        <v>153</v>
      </c>
      <c r="C34" s="133" t="s">
        <v>315</v>
      </c>
      <c r="D34" s="133" t="s">
        <v>119</v>
      </c>
      <c r="E34" s="133" t="s">
        <v>232</v>
      </c>
      <c r="F34" s="133" t="s">
        <v>69</v>
      </c>
      <c r="G34" s="133" t="s">
        <v>500</v>
      </c>
      <c r="H34" s="133" t="s">
        <v>164</v>
      </c>
      <c r="I34" s="164"/>
      <c r="J34" s="236">
        <v>292660.23</v>
      </c>
      <c r="K34" s="135">
        <f>217657.3-27148.08</f>
        <v>190509.21999999997</v>
      </c>
      <c r="L34" s="397">
        <v>292660.23</v>
      </c>
      <c r="M34" s="393">
        <f>217657.3-27148.08</f>
        <v>190509.21999999997</v>
      </c>
    </row>
    <row r="35" spans="1:13" ht="48.75" customHeight="1">
      <c r="A35" s="221" t="s">
        <v>602</v>
      </c>
      <c r="B35" s="133" t="s">
        <v>153</v>
      </c>
      <c r="C35" s="133" t="s">
        <v>315</v>
      </c>
      <c r="D35" s="133" t="s">
        <v>61</v>
      </c>
      <c r="E35" s="133" t="s">
        <v>60</v>
      </c>
      <c r="F35" s="133" t="s">
        <v>119</v>
      </c>
      <c r="G35" s="133" t="s">
        <v>644</v>
      </c>
      <c r="H35" s="133" t="s">
        <v>164</v>
      </c>
      <c r="I35" s="164"/>
      <c r="J35" s="135">
        <v>115836</v>
      </c>
      <c r="K35" s="135">
        <v>115836</v>
      </c>
      <c r="L35" s="393">
        <v>115836</v>
      </c>
      <c r="M35" s="393">
        <v>115836</v>
      </c>
    </row>
    <row r="36" spans="1:13" ht="63" customHeight="1">
      <c r="A36" s="221" t="s">
        <v>636</v>
      </c>
      <c r="B36" s="133" t="s">
        <v>153</v>
      </c>
      <c r="C36" s="133" t="s">
        <v>315</v>
      </c>
      <c r="D36" s="133" t="s">
        <v>162</v>
      </c>
      <c r="E36" s="133" t="s">
        <v>118</v>
      </c>
      <c r="F36" s="133" t="s">
        <v>498</v>
      </c>
      <c r="G36" s="133" t="s">
        <v>637</v>
      </c>
      <c r="H36" s="133" t="s">
        <v>164</v>
      </c>
      <c r="I36" s="164"/>
      <c r="J36" s="135">
        <v>119659.25</v>
      </c>
      <c r="K36" s="135">
        <v>119659.25</v>
      </c>
      <c r="L36" s="393">
        <v>119659.25</v>
      </c>
      <c r="M36" s="393">
        <v>119659.25</v>
      </c>
    </row>
    <row r="37" spans="1:13" ht="48" customHeight="1">
      <c r="A37" s="221" t="s">
        <v>914</v>
      </c>
      <c r="B37" s="133" t="s">
        <v>153</v>
      </c>
      <c r="C37" s="133" t="s">
        <v>315</v>
      </c>
      <c r="D37" s="133" t="s">
        <v>162</v>
      </c>
      <c r="E37" s="133" t="s">
        <v>118</v>
      </c>
      <c r="F37" s="133" t="s">
        <v>498</v>
      </c>
      <c r="G37" s="133" t="s">
        <v>963</v>
      </c>
      <c r="H37" s="133" t="s">
        <v>164</v>
      </c>
      <c r="I37" s="164"/>
      <c r="J37" s="135">
        <v>816533.33</v>
      </c>
      <c r="K37" s="135">
        <v>816533.33</v>
      </c>
      <c r="L37" s="393">
        <v>816533.33</v>
      </c>
      <c r="M37" s="393">
        <v>816533.33</v>
      </c>
    </row>
    <row r="38" spans="1:13" ht="63" customHeight="1">
      <c r="A38" s="223" t="s">
        <v>978</v>
      </c>
      <c r="B38" s="133" t="s">
        <v>153</v>
      </c>
      <c r="C38" s="133" t="s">
        <v>315</v>
      </c>
      <c r="D38" s="133">
        <v>11</v>
      </c>
      <c r="E38" s="133" t="s">
        <v>60</v>
      </c>
      <c r="F38" s="133" t="s">
        <v>119</v>
      </c>
      <c r="G38" s="133" t="s">
        <v>693</v>
      </c>
      <c r="H38" s="133" t="s">
        <v>163</v>
      </c>
      <c r="I38" s="164"/>
      <c r="J38" s="135">
        <v>15000</v>
      </c>
      <c r="K38" s="135">
        <v>15000</v>
      </c>
      <c r="L38" s="393">
        <v>15000</v>
      </c>
      <c r="M38" s="393">
        <v>15000</v>
      </c>
    </row>
    <row r="39" spans="1:13" ht="72" customHeight="1">
      <c r="A39" s="223" t="s">
        <v>979</v>
      </c>
      <c r="B39" s="133" t="s">
        <v>153</v>
      </c>
      <c r="C39" s="133" t="s">
        <v>315</v>
      </c>
      <c r="D39" s="133">
        <v>11</v>
      </c>
      <c r="E39" s="133" t="s">
        <v>60</v>
      </c>
      <c r="F39" s="133" t="s">
        <v>119</v>
      </c>
      <c r="G39" s="133" t="s">
        <v>980</v>
      </c>
      <c r="H39" s="133" t="s">
        <v>164</v>
      </c>
      <c r="I39" s="164"/>
      <c r="J39" s="135">
        <v>5000</v>
      </c>
      <c r="K39" s="135">
        <v>5000</v>
      </c>
      <c r="L39" s="393">
        <v>5000</v>
      </c>
      <c r="M39" s="393">
        <v>5000</v>
      </c>
    </row>
    <row r="40" spans="1:13" ht="62.25" customHeight="1">
      <c r="A40" s="223" t="s">
        <v>946</v>
      </c>
      <c r="B40" s="133" t="s">
        <v>153</v>
      </c>
      <c r="C40" s="133" t="s">
        <v>315</v>
      </c>
      <c r="D40" s="133">
        <v>11</v>
      </c>
      <c r="E40" s="133" t="s">
        <v>60</v>
      </c>
      <c r="F40" s="133" t="s">
        <v>119</v>
      </c>
      <c r="G40" s="133" t="s">
        <v>951</v>
      </c>
      <c r="H40" s="133" t="s">
        <v>164</v>
      </c>
      <c r="I40" s="164"/>
      <c r="J40" s="135">
        <v>37400</v>
      </c>
      <c r="K40" s="135">
        <v>37400</v>
      </c>
      <c r="L40" s="393">
        <v>37400</v>
      </c>
      <c r="M40" s="393">
        <v>37400</v>
      </c>
    </row>
    <row r="41" spans="1:13" ht="54.75" customHeight="1">
      <c r="A41" s="221" t="s">
        <v>1061</v>
      </c>
      <c r="B41" s="133" t="s">
        <v>153</v>
      </c>
      <c r="C41" s="133" t="s">
        <v>315</v>
      </c>
      <c r="D41" s="133">
        <v>11</v>
      </c>
      <c r="E41" s="133" t="s">
        <v>68</v>
      </c>
      <c r="F41" s="133" t="s">
        <v>119</v>
      </c>
      <c r="G41" s="133" t="s">
        <v>694</v>
      </c>
      <c r="H41" s="133" t="s">
        <v>164</v>
      </c>
      <c r="I41" s="164"/>
      <c r="J41" s="135">
        <v>0</v>
      </c>
      <c r="K41" s="135">
        <v>0</v>
      </c>
      <c r="L41" s="393">
        <v>0</v>
      </c>
      <c r="M41" s="393">
        <v>0</v>
      </c>
    </row>
    <row r="42" spans="1:13" ht="66" customHeight="1">
      <c r="A42" s="221" t="s">
        <v>1022</v>
      </c>
      <c r="B42" s="133" t="s">
        <v>153</v>
      </c>
      <c r="C42" s="133" t="s">
        <v>315</v>
      </c>
      <c r="D42" s="133">
        <v>11</v>
      </c>
      <c r="E42" s="133" t="s">
        <v>68</v>
      </c>
      <c r="F42" s="133" t="s">
        <v>119</v>
      </c>
      <c r="G42" s="133" t="s">
        <v>1012</v>
      </c>
      <c r="H42" s="133" t="s">
        <v>164</v>
      </c>
      <c r="I42" s="164"/>
      <c r="J42" s="138">
        <v>0</v>
      </c>
      <c r="K42" s="138">
        <v>0</v>
      </c>
      <c r="L42" s="411">
        <v>0</v>
      </c>
      <c r="M42" s="411">
        <v>0</v>
      </c>
    </row>
    <row r="43" spans="1:13" ht="63">
      <c r="A43" s="221" t="s">
        <v>762</v>
      </c>
      <c r="B43" s="133" t="s">
        <v>153</v>
      </c>
      <c r="C43" s="133" t="s">
        <v>315</v>
      </c>
      <c r="D43" s="133" t="s">
        <v>162</v>
      </c>
      <c r="E43" s="133" t="s">
        <v>118</v>
      </c>
      <c r="F43" s="133" t="s">
        <v>498</v>
      </c>
      <c r="G43" s="133" t="s">
        <v>763</v>
      </c>
      <c r="H43" s="133" t="s">
        <v>164</v>
      </c>
      <c r="I43" s="164"/>
      <c r="J43" s="135">
        <f>2000000+259592.73+63800.01+9000-300000-69684.75</f>
        <v>1962707.9899999998</v>
      </c>
      <c r="K43" s="135"/>
      <c r="L43" s="393">
        <f>2000000+259592.73+63800.01+9000-300000-69684.75</f>
        <v>1962707.9899999998</v>
      </c>
      <c r="M43" s="393"/>
    </row>
    <row r="44" spans="1:13" ht="160.5" customHeight="1">
      <c r="A44" s="221" t="s">
        <v>621</v>
      </c>
      <c r="B44" s="133" t="s">
        <v>153</v>
      </c>
      <c r="C44" s="133" t="s">
        <v>315</v>
      </c>
      <c r="D44" s="133" t="s">
        <v>162</v>
      </c>
      <c r="E44" s="133" t="s">
        <v>118</v>
      </c>
      <c r="F44" s="133" t="s">
        <v>498</v>
      </c>
      <c r="G44" s="133" t="s">
        <v>620</v>
      </c>
      <c r="H44" s="133" t="s">
        <v>165</v>
      </c>
      <c r="I44" s="255">
        <f>I45</f>
        <v>-30</v>
      </c>
      <c r="J44" s="138"/>
      <c r="K44" s="138"/>
      <c r="L44" s="411"/>
      <c r="M44" s="411"/>
    </row>
    <row r="45" spans="1:13" ht="96.75" customHeight="1">
      <c r="A45" s="221" t="s">
        <v>1016</v>
      </c>
      <c r="B45" s="133" t="s">
        <v>153</v>
      </c>
      <c r="C45" s="133" t="s">
        <v>315</v>
      </c>
      <c r="D45" s="133">
        <v>11</v>
      </c>
      <c r="E45" s="133" t="s">
        <v>232</v>
      </c>
      <c r="F45" s="133" t="s">
        <v>69</v>
      </c>
      <c r="G45" s="133" t="s">
        <v>1018</v>
      </c>
      <c r="H45" s="133" t="s">
        <v>163</v>
      </c>
      <c r="I45" s="255">
        <f>I46</f>
        <v>-30</v>
      </c>
      <c r="J45" s="236">
        <v>1768804.76</v>
      </c>
      <c r="K45" s="236">
        <v>1768804.76</v>
      </c>
      <c r="L45" s="397">
        <v>1768804.76</v>
      </c>
      <c r="M45" s="397">
        <v>1768804.76</v>
      </c>
    </row>
    <row r="46" spans="1:13" ht="63">
      <c r="A46" s="221" t="s">
        <v>1015</v>
      </c>
      <c r="B46" s="133" t="s">
        <v>153</v>
      </c>
      <c r="C46" s="133" t="s">
        <v>315</v>
      </c>
      <c r="D46" s="133">
        <v>11</v>
      </c>
      <c r="E46" s="133" t="s">
        <v>232</v>
      </c>
      <c r="F46" s="133" t="s">
        <v>69</v>
      </c>
      <c r="G46" s="133" t="s">
        <v>1018</v>
      </c>
      <c r="H46" s="133" t="s">
        <v>164</v>
      </c>
      <c r="I46" s="164">
        <v>-30</v>
      </c>
      <c r="J46" s="212">
        <v>80080</v>
      </c>
      <c r="K46" s="236">
        <v>72872.54</v>
      </c>
      <c r="L46" s="412">
        <v>80080</v>
      </c>
      <c r="M46" s="397">
        <v>72872.54</v>
      </c>
    </row>
    <row r="47" spans="1:13" ht="47.25">
      <c r="A47" s="221" t="s">
        <v>1017</v>
      </c>
      <c r="B47" s="133" t="s">
        <v>153</v>
      </c>
      <c r="C47" s="133" t="s">
        <v>315</v>
      </c>
      <c r="D47" s="133">
        <v>11</v>
      </c>
      <c r="E47" s="133" t="s">
        <v>232</v>
      </c>
      <c r="F47" s="133" t="s">
        <v>69</v>
      </c>
      <c r="G47" s="133" t="s">
        <v>1018</v>
      </c>
      <c r="H47" s="133" t="s">
        <v>165</v>
      </c>
      <c r="I47" s="137" t="e">
        <f>I51+I62</f>
        <v>#REF!</v>
      </c>
      <c r="J47" s="138"/>
      <c r="K47" s="138"/>
      <c r="L47" s="411"/>
      <c r="M47" s="411"/>
    </row>
    <row r="48" spans="1:13" ht="78.75">
      <c r="A48" s="221" t="s">
        <v>1034</v>
      </c>
      <c r="B48" s="133" t="s">
        <v>153</v>
      </c>
      <c r="C48" s="133" t="s">
        <v>315</v>
      </c>
      <c r="D48" s="133" t="s">
        <v>162</v>
      </c>
      <c r="E48" s="133" t="s">
        <v>118</v>
      </c>
      <c r="F48" s="133" t="s">
        <v>498</v>
      </c>
      <c r="G48" s="133" t="s">
        <v>1033</v>
      </c>
      <c r="H48" s="133" t="s">
        <v>164</v>
      </c>
      <c r="I48" s="137"/>
      <c r="J48" s="138"/>
      <c r="K48" s="138"/>
      <c r="L48" s="411"/>
      <c r="M48" s="411"/>
    </row>
    <row r="49" spans="1:13" ht="31.5">
      <c r="A49" s="235" t="s">
        <v>94</v>
      </c>
      <c r="B49" s="23" t="s">
        <v>153</v>
      </c>
      <c r="C49" s="23" t="s">
        <v>95</v>
      </c>
      <c r="D49" s="23"/>
      <c r="E49" s="23"/>
      <c r="F49" s="23"/>
      <c r="G49" s="23"/>
      <c r="H49" s="23"/>
      <c r="I49" s="137"/>
      <c r="J49" s="157">
        <f aca="true" t="shared" si="0" ref="J49:M50">J50</f>
        <v>350000</v>
      </c>
      <c r="K49" s="157">
        <f t="shared" si="0"/>
        <v>350000</v>
      </c>
      <c r="L49" s="391">
        <f t="shared" si="0"/>
        <v>350000</v>
      </c>
      <c r="M49" s="391">
        <f t="shared" si="0"/>
        <v>350000</v>
      </c>
    </row>
    <row r="50" spans="1:13" ht="51" customHeight="1">
      <c r="A50" s="235" t="s">
        <v>250</v>
      </c>
      <c r="B50" s="23" t="s">
        <v>153</v>
      </c>
      <c r="C50" s="23" t="s">
        <v>96</v>
      </c>
      <c r="D50" s="23"/>
      <c r="E50" s="23"/>
      <c r="F50" s="23"/>
      <c r="G50" s="23"/>
      <c r="H50" s="23"/>
      <c r="I50" s="85"/>
      <c r="J50" s="157">
        <f t="shared" si="0"/>
        <v>350000</v>
      </c>
      <c r="K50" s="157">
        <f t="shared" si="0"/>
        <v>350000</v>
      </c>
      <c r="L50" s="391">
        <f t="shared" si="0"/>
        <v>350000</v>
      </c>
      <c r="M50" s="391">
        <f t="shared" si="0"/>
        <v>350000</v>
      </c>
    </row>
    <row r="51" spans="1:13" ht="63">
      <c r="A51" s="64" t="s">
        <v>597</v>
      </c>
      <c r="B51" s="22" t="s">
        <v>153</v>
      </c>
      <c r="C51" s="22" t="s">
        <v>96</v>
      </c>
      <c r="D51" s="22">
        <v>11</v>
      </c>
      <c r="E51" s="22" t="s">
        <v>68</v>
      </c>
      <c r="F51" s="22" t="s">
        <v>119</v>
      </c>
      <c r="G51" s="22" t="s">
        <v>502</v>
      </c>
      <c r="H51" s="22" t="s">
        <v>164</v>
      </c>
      <c r="I51" s="70" t="e">
        <f>I52+#REF!+#REF!+#REF!</f>
        <v>#REF!</v>
      </c>
      <c r="J51" s="135">
        <v>350000</v>
      </c>
      <c r="K51" s="135">
        <v>350000</v>
      </c>
      <c r="L51" s="393">
        <v>350000</v>
      </c>
      <c r="M51" s="393">
        <v>350000</v>
      </c>
    </row>
    <row r="52" spans="1:13" ht="15.75">
      <c r="A52" s="235" t="s">
        <v>97</v>
      </c>
      <c r="B52" s="23" t="s">
        <v>153</v>
      </c>
      <c r="C52" s="23" t="s">
        <v>98</v>
      </c>
      <c r="D52" s="23"/>
      <c r="E52" s="23"/>
      <c r="F52" s="23"/>
      <c r="G52" s="23"/>
      <c r="H52" s="23"/>
      <c r="I52" s="86">
        <v>-71.6</v>
      </c>
      <c r="J52" s="241">
        <f>J53+J56+J70</f>
        <v>16530443</v>
      </c>
      <c r="K52" s="241">
        <f>K53+K56+K70</f>
        <v>16923593.060000002</v>
      </c>
      <c r="L52" s="410">
        <f>L53+L56+L70</f>
        <v>8960576.8</v>
      </c>
      <c r="M52" s="410">
        <f>M53+M56+M70</f>
        <v>8890576.8</v>
      </c>
    </row>
    <row r="53" spans="1:13" ht="25.5" customHeight="1">
      <c r="A53" s="235" t="s">
        <v>686</v>
      </c>
      <c r="B53" s="23" t="s">
        <v>153</v>
      </c>
      <c r="C53" s="23" t="s">
        <v>685</v>
      </c>
      <c r="D53" s="23"/>
      <c r="E53" s="23"/>
      <c r="F53" s="23"/>
      <c r="G53" s="23"/>
      <c r="H53" s="23"/>
      <c r="I53" s="86"/>
      <c r="J53" s="241">
        <f>J54+J55</f>
        <v>22290.24</v>
      </c>
      <c r="K53" s="241">
        <f>K54+K55</f>
        <v>22290.24</v>
      </c>
      <c r="L53" s="410">
        <f>L54+L55</f>
        <v>42939</v>
      </c>
      <c r="M53" s="410">
        <f>M54+M55</f>
        <v>42939</v>
      </c>
    </row>
    <row r="54" spans="1:13" ht="94.5">
      <c r="A54" s="221" t="s">
        <v>1545</v>
      </c>
      <c r="B54" s="133" t="s">
        <v>153</v>
      </c>
      <c r="C54" s="133" t="s">
        <v>685</v>
      </c>
      <c r="D54" s="133" t="s">
        <v>162</v>
      </c>
      <c r="E54" s="133" t="s">
        <v>118</v>
      </c>
      <c r="F54" s="133" t="s">
        <v>498</v>
      </c>
      <c r="G54" s="133" t="s">
        <v>687</v>
      </c>
      <c r="H54" s="133" t="s">
        <v>164</v>
      </c>
      <c r="I54" s="164"/>
      <c r="J54" s="138">
        <v>22290.24</v>
      </c>
      <c r="K54" s="138">
        <v>22290.24</v>
      </c>
      <c r="L54" s="411">
        <v>42939</v>
      </c>
      <c r="M54" s="411">
        <v>42939</v>
      </c>
    </row>
    <row r="55" spans="1:13" ht="157.5">
      <c r="A55" s="221" t="s">
        <v>610</v>
      </c>
      <c r="B55" s="133" t="s">
        <v>153</v>
      </c>
      <c r="C55" s="133" t="s">
        <v>685</v>
      </c>
      <c r="D55" s="133" t="s">
        <v>162</v>
      </c>
      <c r="E55" s="133" t="s">
        <v>118</v>
      </c>
      <c r="F55" s="133" t="s">
        <v>498</v>
      </c>
      <c r="G55" s="133" t="s">
        <v>746</v>
      </c>
      <c r="H55" s="133" t="s">
        <v>164</v>
      </c>
      <c r="I55" s="164"/>
      <c r="J55" s="138">
        <v>0</v>
      </c>
      <c r="K55" s="138">
        <v>0</v>
      </c>
      <c r="L55" s="411">
        <v>0</v>
      </c>
      <c r="M55" s="411">
        <v>0</v>
      </c>
    </row>
    <row r="56" spans="1:13" ht="29.25" customHeight="1">
      <c r="A56" s="235" t="s">
        <v>56</v>
      </c>
      <c r="B56" s="23" t="s">
        <v>153</v>
      </c>
      <c r="C56" s="23" t="s">
        <v>99</v>
      </c>
      <c r="D56" s="23"/>
      <c r="E56" s="23"/>
      <c r="F56" s="23"/>
      <c r="G56" s="23"/>
      <c r="H56" s="23"/>
      <c r="I56" s="86"/>
      <c r="J56" s="157">
        <f>SUM(J57:J69)</f>
        <v>15750152.76</v>
      </c>
      <c r="K56" s="157">
        <f>SUM(K57:K69)</f>
        <v>16213302.82</v>
      </c>
      <c r="L56" s="391">
        <f>SUM(L57:L69)</f>
        <v>8159637.800000001</v>
      </c>
      <c r="M56" s="391">
        <f>SUM(M57:M69)</f>
        <v>8159637.800000001</v>
      </c>
    </row>
    <row r="57" spans="1:13" ht="32.25" customHeight="1">
      <c r="A57" s="267" t="s">
        <v>905</v>
      </c>
      <c r="B57" s="22" t="s">
        <v>153</v>
      </c>
      <c r="C57" s="22" t="s">
        <v>99</v>
      </c>
      <c r="D57" s="22" t="s">
        <v>241</v>
      </c>
      <c r="E57" s="22" t="s">
        <v>68</v>
      </c>
      <c r="F57" s="22" t="s">
        <v>69</v>
      </c>
      <c r="G57" s="22" t="s">
        <v>503</v>
      </c>
      <c r="H57" s="22" t="s">
        <v>164</v>
      </c>
      <c r="I57" s="86"/>
      <c r="J57" s="135">
        <v>3105606.06</v>
      </c>
      <c r="K57" s="135">
        <v>3105606.06</v>
      </c>
      <c r="L57" s="393">
        <v>3105606.06</v>
      </c>
      <c r="M57" s="393">
        <v>3105606.06</v>
      </c>
    </row>
    <row r="58" spans="1:13" ht="48.75" customHeight="1">
      <c r="A58" s="267" t="s">
        <v>906</v>
      </c>
      <c r="B58" s="22" t="s">
        <v>153</v>
      </c>
      <c r="C58" s="22" t="s">
        <v>99</v>
      </c>
      <c r="D58" s="22" t="s">
        <v>241</v>
      </c>
      <c r="E58" s="22" t="s">
        <v>68</v>
      </c>
      <c r="F58" s="22" t="s">
        <v>69</v>
      </c>
      <c r="G58" s="22" t="s">
        <v>952</v>
      </c>
      <c r="H58" s="22" t="s">
        <v>164</v>
      </c>
      <c r="I58" s="86"/>
      <c r="J58" s="135">
        <v>4767359.87</v>
      </c>
      <c r="K58" s="135">
        <v>4762681.58</v>
      </c>
      <c r="L58" s="393">
        <v>4844031.74</v>
      </c>
      <c r="M58" s="393">
        <v>4844031.74</v>
      </c>
    </row>
    <row r="59" spans="1:13" ht="51" customHeight="1">
      <c r="A59" s="267" t="s">
        <v>1244</v>
      </c>
      <c r="B59" s="22" t="s">
        <v>153</v>
      </c>
      <c r="C59" s="22" t="s">
        <v>99</v>
      </c>
      <c r="D59" s="22" t="s">
        <v>241</v>
      </c>
      <c r="E59" s="22" t="s">
        <v>68</v>
      </c>
      <c r="F59" s="22" t="s">
        <v>69</v>
      </c>
      <c r="G59" s="22" t="s">
        <v>952</v>
      </c>
      <c r="H59" s="22" t="s">
        <v>974</v>
      </c>
      <c r="I59" s="86"/>
      <c r="J59" s="135">
        <v>0</v>
      </c>
      <c r="K59" s="135">
        <v>0</v>
      </c>
      <c r="L59" s="393">
        <v>0</v>
      </c>
      <c r="M59" s="393">
        <v>0</v>
      </c>
    </row>
    <row r="60" spans="1:13" ht="51" customHeight="1">
      <c r="A60" s="267" t="s">
        <v>922</v>
      </c>
      <c r="B60" s="22" t="s">
        <v>153</v>
      </c>
      <c r="C60" s="22" t="s">
        <v>99</v>
      </c>
      <c r="D60" s="22" t="s">
        <v>241</v>
      </c>
      <c r="E60" s="22" t="s">
        <v>68</v>
      </c>
      <c r="F60" s="22" t="s">
        <v>69</v>
      </c>
      <c r="G60" s="22" t="s">
        <v>953</v>
      </c>
      <c r="H60" s="22" t="s">
        <v>164</v>
      </c>
      <c r="I60" s="86"/>
      <c r="J60" s="135">
        <v>0</v>
      </c>
      <c r="K60" s="135">
        <v>0</v>
      </c>
      <c r="L60" s="393">
        <v>0</v>
      </c>
      <c r="M60" s="393">
        <v>0</v>
      </c>
    </row>
    <row r="61" spans="1:13" ht="63">
      <c r="A61" s="267" t="s">
        <v>989</v>
      </c>
      <c r="B61" s="22" t="s">
        <v>153</v>
      </c>
      <c r="C61" s="22" t="s">
        <v>99</v>
      </c>
      <c r="D61" s="22" t="s">
        <v>241</v>
      </c>
      <c r="E61" s="22" t="s">
        <v>68</v>
      </c>
      <c r="F61" s="22" t="s">
        <v>69</v>
      </c>
      <c r="G61" s="22" t="s">
        <v>954</v>
      </c>
      <c r="H61" s="22" t="s">
        <v>164</v>
      </c>
      <c r="I61" s="86"/>
      <c r="J61" s="135">
        <v>140000</v>
      </c>
      <c r="K61" s="135">
        <v>140000</v>
      </c>
      <c r="L61" s="393">
        <v>140000</v>
      </c>
      <c r="M61" s="393">
        <v>140000</v>
      </c>
    </row>
    <row r="62" spans="1:13" ht="78" customHeight="1">
      <c r="A62" s="267" t="s">
        <v>1225</v>
      </c>
      <c r="B62" s="22" t="s">
        <v>153</v>
      </c>
      <c r="C62" s="22" t="s">
        <v>99</v>
      </c>
      <c r="D62" s="22" t="s">
        <v>241</v>
      </c>
      <c r="E62" s="22" t="s">
        <v>68</v>
      </c>
      <c r="F62" s="22" t="s">
        <v>69</v>
      </c>
      <c r="G62" s="22" t="s">
        <v>1226</v>
      </c>
      <c r="H62" s="22" t="s">
        <v>164</v>
      </c>
      <c r="I62" s="70">
        <f>SUM(I63:I66)</f>
        <v>-456</v>
      </c>
      <c r="J62" s="97"/>
      <c r="K62" s="97"/>
      <c r="L62" s="396"/>
      <c r="M62" s="396"/>
    </row>
    <row r="63" spans="1:13" ht="239.25" customHeight="1">
      <c r="A63" s="249" t="s">
        <v>753</v>
      </c>
      <c r="B63" s="133" t="s">
        <v>153</v>
      </c>
      <c r="C63" s="133" t="s">
        <v>99</v>
      </c>
      <c r="D63" s="133" t="s">
        <v>241</v>
      </c>
      <c r="E63" s="133" t="s">
        <v>68</v>
      </c>
      <c r="F63" s="133" t="s">
        <v>69</v>
      </c>
      <c r="G63" s="133" t="s">
        <v>752</v>
      </c>
      <c r="H63" s="133" t="s">
        <v>53</v>
      </c>
      <c r="I63" s="164">
        <v>-456</v>
      </c>
      <c r="J63" s="135">
        <v>0</v>
      </c>
      <c r="K63" s="135">
        <v>0</v>
      </c>
      <c r="L63" s="393">
        <v>0</v>
      </c>
      <c r="M63" s="393">
        <v>0</v>
      </c>
    </row>
    <row r="64" spans="1:13" ht="33.75" customHeight="1">
      <c r="A64" s="249" t="s">
        <v>907</v>
      </c>
      <c r="B64" s="133" t="s">
        <v>153</v>
      </c>
      <c r="C64" s="133" t="s">
        <v>99</v>
      </c>
      <c r="D64" s="133" t="s">
        <v>241</v>
      </c>
      <c r="E64" s="133" t="s">
        <v>60</v>
      </c>
      <c r="F64" s="133" t="s">
        <v>69</v>
      </c>
      <c r="G64" s="133" t="s">
        <v>633</v>
      </c>
      <c r="H64" s="133" t="s">
        <v>164</v>
      </c>
      <c r="I64" s="164"/>
      <c r="J64" s="507">
        <v>50000</v>
      </c>
      <c r="K64" s="507">
        <v>50000</v>
      </c>
      <c r="L64" s="412">
        <v>50000</v>
      </c>
      <c r="M64" s="412">
        <v>50000</v>
      </c>
    </row>
    <row r="65" spans="1:13" ht="81.75" customHeight="1">
      <c r="A65" s="249" t="s">
        <v>1134</v>
      </c>
      <c r="B65" s="133" t="s">
        <v>153</v>
      </c>
      <c r="C65" s="133" t="s">
        <v>99</v>
      </c>
      <c r="D65" s="133" t="s">
        <v>241</v>
      </c>
      <c r="E65" s="133" t="s">
        <v>232</v>
      </c>
      <c r="F65" s="133" t="s">
        <v>69</v>
      </c>
      <c r="G65" s="133" t="s">
        <v>1136</v>
      </c>
      <c r="H65" s="133" t="s">
        <v>164</v>
      </c>
      <c r="I65" s="164"/>
      <c r="J65" s="135"/>
      <c r="K65" s="135"/>
      <c r="L65" s="393"/>
      <c r="M65" s="393"/>
    </row>
    <row r="66" spans="1:13" ht="97.5" customHeight="1">
      <c r="A66" s="249" t="s">
        <v>1135</v>
      </c>
      <c r="B66" s="133" t="s">
        <v>153</v>
      </c>
      <c r="C66" s="133" t="s">
        <v>99</v>
      </c>
      <c r="D66" s="133" t="s">
        <v>241</v>
      </c>
      <c r="E66" s="133" t="s">
        <v>232</v>
      </c>
      <c r="F66" s="133" t="s">
        <v>69</v>
      </c>
      <c r="G66" s="133" t="s">
        <v>1137</v>
      </c>
      <c r="H66" s="133" t="s">
        <v>164</v>
      </c>
      <c r="I66" s="164"/>
      <c r="J66" s="246">
        <v>20000</v>
      </c>
      <c r="K66" s="246">
        <v>20000</v>
      </c>
      <c r="L66" s="413">
        <v>20000</v>
      </c>
      <c r="M66" s="413">
        <v>20000</v>
      </c>
    </row>
    <row r="67" spans="1:16" ht="96" customHeight="1">
      <c r="A67" s="220" t="s">
        <v>1563</v>
      </c>
      <c r="B67" s="133" t="s">
        <v>153</v>
      </c>
      <c r="C67" s="133" t="s">
        <v>99</v>
      </c>
      <c r="D67" s="133" t="s">
        <v>241</v>
      </c>
      <c r="E67" s="133" t="s">
        <v>68</v>
      </c>
      <c r="F67" s="133" t="s">
        <v>69</v>
      </c>
      <c r="G67" s="133" t="s">
        <v>1021</v>
      </c>
      <c r="H67" s="133" t="s">
        <v>164</v>
      </c>
      <c r="I67" s="164"/>
      <c r="J67" s="135">
        <v>7667186.83</v>
      </c>
      <c r="K67" s="135">
        <v>8135015.18</v>
      </c>
      <c r="L67" s="393"/>
      <c r="M67" s="393"/>
      <c r="N67" s="249"/>
      <c r="P67" s="440">
        <v>81350.16</v>
      </c>
    </row>
    <row r="68" spans="1:13" ht="94.5">
      <c r="A68" s="249" t="s">
        <v>1024</v>
      </c>
      <c r="B68" s="133" t="s">
        <v>153</v>
      </c>
      <c r="C68" s="133" t="s">
        <v>99</v>
      </c>
      <c r="D68" s="133" t="s">
        <v>241</v>
      </c>
      <c r="E68" s="133" t="s">
        <v>68</v>
      </c>
      <c r="F68" s="133" t="s">
        <v>69</v>
      </c>
      <c r="G68" s="133" t="s">
        <v>1021</v>
      </c>
      <c r="H68" s="133" t="s">
        <v>164</v>
      </c>
      <c r="I68" s="164"/>
      <c r="J68" s="135"/>
      <c r="K68" s="135"/>
      <c r="L68" s="393"/>
      <c r="M68" s="393"/>
    </row>
    <row r="69" spans="1:13" ht="110.25">
      <c r="A69" s="267" t="s">
        <v>1249</v>
      </c>
      <c r="B69" s="22" t="s">
        <v>153</v>
      </c>
      <c r="C69" s="22" t="s">
        <v>99</v>
      </c>
      <c r="D69" s="22" t="s">
        <v>241</v>
      </c>
      <c r="E69" s="22" t="s">
        <v>68</v>
      </c>
      <c r="F69" s="22" t="s">
        <v>69</v>
      </c>
      <c r="G69" s="22" t="s">
        <v>1245</v>
      </c>
      <c r="H69" s="22" t="s">
        <v>974</v>
      </c>
      <c r="I69" s="24" t="e">
        <f>#REF!+I75</f>
        <v>#REF!</v>
      </c>
      <c r="J69" s="97"/>
      <c r="K69" s="97"/>
      <c r="L69" s="396"/>
      <c r="M69" s="396"/>
    </row>
    <row r="70" spans="1:13" ht="15.75">
      <c r="A70" s="235" t="s">
        <v>100</v>
      </c>
      <c r="B70" s="23" t="s">
        <v>153</v>
      </c>
      <c r="C70" s="23" t="s">
        <v>101</v>
      </c>
      <c r="D70" s="23"/>
      <c r="E70" s="23"/>
      <c r="F70" s="23"/>
      <c r="G70" s="23"/>
      <c r="H70" s="23"/>
      <c r="I70" s="89"/>
      <c r="J70" s="157">
        <f>SUM(J71:J78)</f>
        <v>758000</v>
      </c>
      <c r="K70" s="157">
        <f>SUM(K71:K78)</f>
        <v>688000</v>
      </c>
      <c r="L70" s="391">
        <f>SUM(L71:L78)</f>
        <v>758000</v>
      </c>
      <c r="M70" s="391">
        <f>SUM(M71:M78)</f>
        <v>688000</v>
      </c>
    </row>
    <row r="71" spans="1:13" ht="78.75" customHeight="1">
      <c r="A71" s="154" t="s">
        <v>589</v>
      </c>
      <c r="B71" s="22" t="s">
        <v>153</v>
      </c>
      <c r="C71" s="22" t="s">
        <v>101</v>
      </c>
      <c r="D71" s="22" t="s">
        <v>69</v>
      </c>
      <c r="E71" s="22" t="s">
        <v>60</v>
      </c>
      <c r="F71" s="22" t="s">
        <v>69</v>
      </c>
      <c r="G71" s="22" t="s">
        <v>504</v>
      </c>
      <c r="H71" s="22" t="s">
        <v>164</v>
      </c>
      <c r="I71" s="89"/>
      <c r="J71" s="135">
        <v>300000</v>
      </c>
      <c r="K71" s="135">
        <v>300000</v>
      </c>
      <c r="L71" s="393">
        <v>300000</v>
      </c>
      <c r="M71" s="393">
        <v>300000</v>
      </c>
    </row>
    <row r="72" spans="1:13" ht="47.25">
      <c r="A72" s="64" t="s">
        <v>612</v>
      </c>
      <c r="B72" s="22" t="s">
        <v>153</v>
      </c>
      <c r="C72" s="22" t="s">
        <v>101</v>
      </c>
      <c r="D72" s="22" t="s">
        <v>57</v>
      </c>
      <c r="E72" s="22" t="s">
        <v>68</v>
      </c>
      <c r="F72" s="22" t="s">
        <v>69</v>
      </c>
      <c r="G72" s="22" t="s">
        <v>505</v>
      </c>
      <c r="H72" s="22" t="s">
        <v>164</v>
      </c>
      <c r="I72" s="89"/>
      <c r="J72" s="236">
        <v>10000</v>
      </c>
      <c r="K72" s="236">
        <v>10000</v>
      </c>
      <c r="L72" s="397">
        <v>10000</v>
      </c>
      <c r="M72" s="397">
        <v>10000</v>
      </c>
    </row>
    <row r="73" spans="1:13" ht="52.5" customHeight="1">
      <c r="A73" s="63" t="s">
        <v>1391</v>
      </c>
      <c r="B73" s="22" t="s">
        <v>153</v>
      </c>
      <c r="C73" s="22" t="s">
        <v>101</v>
      </c>
      <c r="D73" s="22" t="s">
        <v>57</v>
      </c>
      <c r="E73" s="22" t="s">
        <v>68</v>
      </c>
      <c r="F73" s="22" t="s">
        <v>69</v>
      </c>
      <c r="G73" s="22" t="s">
        <v>506</v>
      </c>
      <c r="H73" s="22" t="s">
        <v>164</v>
      </c>
      <c r="I73" s="89"/>
      <c r="J73" s="236">
        <v>20000</v>
      </c>
      <c r="K73" s="236">
        <v>20000</v>
      </c>
      <c r="L73" s="397">
        <v>20000</v>
      </c>
      <c r="M73" s="397">
        <v>20000</v>
      </c>
    </row>
    <row r="74" spans="1:13" ht="63">
      <c r="A74" s="64" t="s">
        <v>600</v>
      </c>
      <c r="B74" s="22" t="s">
        <v>153</v>
      </c>
      <c r="C74" s="22" t="s">
        <v>101</v>
      </c>
      <c r="D74" s="22" t="s">
        <v>57</v>
      </c>
      <c r="E74" s="22" t="s">
        <v>68</v>
      </c>
      <c r="F74" s="22" t="s">
        <v>69</v>
      </c>
      <c r="G74" s="22" t="s">
        <v>507</v>
      </c>
      <c r="H74" s="22" t="s">
        <v>164</v>
      </c>
      <c r="I74" s="89"/>
      <c r="J74" s="135"/>
      <c r="K74" s="135"/>
      <c r="L74" s="393"/>
      <c r="M74" s="393"/>
    </row>
    <row r="75" spans="1:13" ht="47.25">
      <c r="A75" s="64" t="s">
        <v>627</v>
      </c>
      <c r="B75" s="22" t="s">
        <v>153</v>
      </c>
      <c r="C75" s="22" t="s">
        <v>101</v>
      </c>
      <c r="D75" s="22" t="s">
        <v>57</v>
      </c>
      <c r="E75" s="22" t="s">
        <v>68</v>
      </c>
      <c r="F75" s="22" t="s">
        <v>119</v>
      </c>
      <c r="G75" s="22" t="s">
        <v>626</v>
      </c>
      <c r="H75" s="22" t="s">
        <v>165</v>
      </c>
      <c r="I75" s="24" t="e">
        <f>I76+#REF!+#REF!+#REF!+#REF!+#REF!</f>
        <v>#REF!</v>
      </c>
      <c r="J75" s="135">
        <v>258000</v>
      </c>
      <c r="K75" s="135">
        <v>258000</v>
      </c>
      <c r="L75" s="393">
        <v>258000</v>
      </c>
      <c r="M75" s="393">
        <v>258000</v>
      </c>
    </row>
    <row r="76" spans="1:13" ht="126" customHeight="1">
      <c r="A76" s="63" t="s">
        <v>1392</v>
      </c>
      <c r="B76" s="22" t="s">
        <v>153</v>
      </c>
      <c r="C76" s="22" t="s">
        <v>101</v>
      </c>
      <c r="D76" s="22" t="s">
        <v>57</v>
      </c>
      <c r="E76" s="22" t="s">
        <v>68</v>
      </c>
      <c r="F76" s="22" t="s">
        <v>119</v>
      </c>
      <c r="G76" s="22" t="s">
        <v>955</v>
      </c>
      <c r="H76" s="22" t="s">
        <v>165</v>
      </c>
      <c r="I76" s="86">
        <v>-220</v>
      </c>
      <c r="J76" s="135">
        <v>170000</v>
      </c>
      <c r="K76" s="135">
        <v>100000</v>
      </c>
      <c r="L76" s="393">
        <v>170000</v>
      </c>
      <c r="M76" s="393">
        <v>100000</v>
      </c>
    </row>
    <row r="77" spans="1:13" ht="78.75" customHeight="1">
      <c r="A77" s="64" t="s">
        <v>1250</v>
      </c>
      <c r="B77" s="22" t="s">
        <v>153</v>
      </c>
      <c r="C77" s="22" t="s">
        <v>101</v>
      </c>
      <c r="D77" s="22" t="s">
        <v>57</v>
      </c>
      <c r="E77" s="22" t="s">
        <v>60</v>
      </c>
      <c r="F77" s="22" t="s">
        <v>69</v>
      </c>
      <c r="G77" s="22" t="s">
        <v>1246</v>
      </c>
      <c r="H77" s="22" t="s">
        <v>164</v>
      </c>
      <c r="I77" s="86"/>
      <c r="J77" s="97">
        <v>0</v>
      </c>
      <c r="K77" s="97">
        <v>0</v>
      </c>
      <c r="L77" s="396">
        <v>0</v>
      </c>
      <c r="M77" s="396">
        <v>0</v>
      </c>
    </row>
    <row r="78" spans="1:13" ht="94.5">
      <c r="A78" s="64" t="s">
        <v>1251</v>
      </c>
      <c r="B78" s="22" t="s">
        <v>153</v>
      </c>
      <c r="C78" s="22" t="s">
        <v>101</v>
      </c>
      <c r="D78" s="22" t="s">
        <v>57</v>
      </c>
      <c r="E78" s="22" t="s">
        <v>60</v>
      </c>
      <c r="F78" s="22" t="s">
        <v>69</v>
      </c>
      <c r="G78" s="22" t="s">
        <v>1247</v>
      </c>
      <c r="H78" s="22" t="s">
        <v>164</v>
      </c>
      <c r="I78" s="24" t="e">
        <f>I81+#REF!+#REF!+I85+I87+#REF!</f>
        <v>#REF!</v>
      </c>
      <c r="J78" s="97">
        <v>0</v>
      </c>
      <c r="K78" s="97">
        <v>0</v>
      </c>
      <c r="L78" s="396">
        <v>0</v>
      </c>
      <c r="M78" s="396">
        <v>0</v>
      </c>
    </row>
    <row r="79" spans="1:13" ht="19.5" customHeight="1">
      <c r="A79" s="235" t="s">
        <v>37</v>
      </c>
      <c r="B79" s="23" t="s">
        <v>153</v>
      </c>
      <c r="C79" s="23" t="s">
        <v>38</v>
      </c>
      <c r="D79" s="23"/>
      <c r="E79" s="23"/>
      <c r="F79" s="23"/>
      <c r="G79" s="23"/>
      <c r="H79" s="23"/>
      <c r="I79" s="86"/>
      <c r="J79" s="24">
        <f>J80+J86+J90</f>
        <v>5326496.819999999</v>
      </c>
      <c r="K79" s="24">
        <f>K80+K86+K90</f>
        <v>4256812.07</v>
      </c>
      <c r="L79" s="408">
        <f>L80+L86+L90</f>
        <v>4326496.82</v>
      </c>
      <c r="M79" s="408">
        <f>M80+M86+M90</f>
        <v>4256812.07</v>
      </c>
    </row>
    <row r="80" spans="1:13" ht="19.5" customHeight="1">
      <c r="A80" s="237" t="s">
        <v>133</v>
      </c>
      <c r="B80" s="30">
        <v>900</v>
      </c>
      <c r="C80" s="31" t="s">
        <v>134</v>
      </c>
      <c r="D80" s="31"/>
      <c r="E80" s="31"/>
      <c r="F80" s="31"/>
      <c r="G80" s="31"/>
      <c r="H80" s="31"/>
      <c r="I80" s="86"/>
      <c r="J80" s="252">
        <f>SUM(J81:J85)</f>
        <v>2978103.62</v>
      </c>
      <c r="K80" s="252">
        <f>SUM(K81:K85)</f>
        <v>2978103.62</v>
      </c>
      <c r="L80" s="414">
        <f>SUM(L81:L85)</f>
        <v>2978103.62</v>
      </c>
      <c r="M80" s="414">
        <f>SUM(M81:M85)</f>
        <v>2978103.62</v>
      </c>
    </row>
    <row r="81" spans="1:13" ht="47.25">
      <c r="A81" s="64" t="s">
        <v>645</v>
      </c>
      <c r="B81" s="67">
        <v>900</v>
      </c>
      <c r="C81" s="68" t="s">
        <v>134</v>
      </c>
      <c r="D81" s="68" t="s">
        <v>61</v>
      </c>
      <c r="E81" s="68" t="s">
        <v>143</v>
      </c>
      <c r="F81" s="68" t="s">
        <v>69</v>
      </c>
      <c r="G81" s="68" t="s">
        <v>680</v>
      </c>
      <c r="H81" s="68" t="s">
        <v>164</v>
      </c>
      <c r="I81" s="86"/>
      <c r="J81" s="251">
        <v>1235573.6</v>
      </c>
      <c r="K81" s="251">
        <v>1235573.6</v>
      </c>
      <c r="L81" s="415">
        <v>1235573.6</v>
      </c>
      <c r="M81" s="415">
        <v>1235573.6</v>
      </c>
    </row>
    <row r="82" spans="1:13" ht="63">
      <c r="A82" s="64" t="s">
        <v>1057</v>
      </c>
      <c r="B82" s="67">
        <v>900</v>
      </c>
      <c r="C82" s="68" t="s">
        <v>134</v>
      </c>
      <c r="D82" s="68" t="s">
        <v>61</v>
      </c>
      <c r="E82" s="68" t="s">
        <v>143</v>
      </c>
      <c r="F82" s="68" t="s">
        <v>69</v>
      </c>
      <c r="G82" s="68" t="s">
        <v>1056</v>
      </c>
      <c r="H82" s="68" t="s">
        <v>164</v>
      </c>
      <c r="I82" s="86"/>
      <c r="J82" s="251">
        <v>1546853.1</v>
      </c>
      <c r="K82" s="251">
        <v>1546853.1</v>
      </c>
      <c r="L82" s="415">
        <v>1546853.1</v>
      </c>
      <c r="M82" s="415">
        <v>1546853.1</v>
      </c>
    </row>
    <row r="83" spans="1:13" ht="62.25" customHeight="1">
      <c r="A83" s="264" t="s">
        <v>969</v>
      </c>
      <c r="B83" s="67">
        <v>900</v>
      </c>
      <c r="C83" s="68" t="s">
        <v>134</v>
      </c>
      <c r="D83" s="68" t="s">
        <v>61</v>
      </c>
      <c r="E83" s="68" t="s">
        <v>971</v>
      </c>
      <c r="F83" s="68" t="s">
        <v>69</v>
      </c>
      <c r="G83" s="68" t="s">
        <v>972</v>
      </c>
      <c r="H83" s="68" t="s">
        <v>164</v>
      </c>
      <c r="I83" s="86"/>
      <c r="J83" s="251"/>
      <c r="K83" s="251"/>
      <c r="L83" s="415"/>
      <c r="M83" s="415"/>
    </row>
    <row r="84" spans="1:13" ht="78.75">
      <c r="A84" s="264" t="s">
        <v>1062</v>
      </c>
      <c r="B84" s="67">
        <v>900</v>
      </c>
      <c r="C84" s="68" t="s">
        <v>134</v>
      </c>
      <c r="D84" s="68" t="s">
        <v>61</v>
      </c>
      <c r="E84" s="68" t="s">
        <v>143</v>
      </c>
      <c r="F84" s="68" t="s">
        <v>69</v>
      </c>
      <c r="G84" s="68" t="s">
        <v>1132</v>
      </c>
      <c r="H84" s="68" t="s">
        <v>165</v>
      </c>
      <c r="I84" s="88" t="e">
        <f>#REF!+#REF!+#REF!+I85</f>
        <v>#REF!</v>
      </c>
      <c r="J84" s="251">
        <v>195676.92</v>
      </c>
      <c r="K84" s="251">
        <v>195676.92</v>
      </c>
      <c r="L84" s="415">
        <v>195676.92</v>
      </c>
      <c r="M84" s="415">
        <v>195676.92</v>
      </c>
    </row>
    <row r="85" spans="1:13" ht="47.25">
      <c r="A85" s="264" t="s">
        <v>1010</v>
      </c>
      <c r="B85" s="67">
        <v>900</v>
      </c>
      <c r="C85" s="68" t="s">
        <v>134</v>
      </c>
      <c r="D85" s="68" t="s">
        <v>61</v>
      </c>
      <c r="E85" s="68" t="s">
        <v>971</v>
      </c>
      <c r="F85" s="68" t="s">
        <v>69</v>
      </c>
      <c r="G85" s="68" t="s">
        <v>1011</v>
      </c>
      <c r="H85" s="68" t="s">
        <v>164</v>
      </c>
      <c r="I85" s="88">
        <f>I86</f>
        <v>0</v>
      </c>
      <c r="J85" s="156"/>
      <c r="K85" s="156"/>
      <c r="L85" s="416"/>
      <c r="M85" s="416"/>
    </row>
    <row r="86" spans="1:13" ht="15.75">
      <c r="A86" s="235" t="s">
        <v>135</v>
      </c>
      <c r="B86" s="23" t="s">
        <v>153</v>
      </c>
      <c r="C86" s="23" t="s">
        <v>136</v>
      </c>
      <c r="D86" s="23"/>
      <c r="E86" s="23"/>
      <c r="F86" s="23"/>
      <c r="G86" s="23"/>
      <c r="H86" s="23"/>
      <c r="I86" s="90"/>
      <c r="J86" s="157">
        <f>SUM(J87:J89)</f>
        <v>1372805.06</v>
      </c>
      <c r="K86" s="157">
        <f>SUM(K87:K89)</f>
        <v>372805.06</v>
      </c>
      <c r="L86" s="391">
        <f>SUM(L87:L89)</f>
        <v>372805.06</v>
      </c>
      <c r="M86" s="391">
        <f>SUM(M87:M89)</f>
        <v>372805.06</v>
      </c>
    </row>
    <row r="87" spans="1:13" ht="51" customHeight="1">
      <c r="A87" s="64" t="s">
        <v>601</v>
      </c>
      <c r="B87" s="22" t="s">
        <v>153</v>
      </c>
      <c r="C87" s="22" t="s">
        <v>136</v>
      </c>
      <c r="D87" s="22" t="s">
        <v>61</v>
      </c>
      <c r="E87" s="22" t="s">
        <v>68</v>
      </c>
      <c r="F87" s="22" t="s">
        <v>69</v>
      </c>
      <c r="G87" s="22" t="s">
        <v>508</v>
      </c>
      <c r="H87" s="22" t="s">
        <v>164</v>
      </c>
      <c r="I87" s="90"/>
      <c r="J87" s="253">
        <v>245524.05</v>
      </c>
      <c r="K87" s="253">
        <v>255625.06</v>
      </c>
      <c r="L87" s="409">
        <v>255625.06</v>
      </c>
      <c r="M87" s="409">
        <v>255625.06</v>
      </c>
    </row>
    <row r="88" spans="1:17" ht="51" customHeight="1">
      <c r="A88" s="221" t="s">
        <v>1585</v>
      </c>
      <c r="B88" s="22" t="s">
        <v>153</v>
      </c>
      <c r="C88" s="22" t="s">
        <v>136</v>
      </c>
      <c r="D88" s="22" t="s">
        <v>61</v>
      </c>
      <c r="E88" s="22" t="s">
        <v>68</v>
      </c>
      <c r="F88" s="22" t="s">
        <v>69</v>
      </c>
      <c r="G88" s="133" t="s">
        <v>1549</v>
      </c>
      <c r="H88" s="22" t="s">
        <v>974</v>
      </c>
      <c r="I88" s="90"/>
      <c r="J88" s="253">
        <v>1010101.01</v>
      </c>
      <c r="K88" s="253">
        <v>0</v>
      </c>
      <c r="L88" s="409"/>
      <c r="M88" s="409"/>
      <c r="Q88" s="462"/>
    </row>
    <row r="89" spans="1:13" ht="52.5" customHeight="1">
      <c r="A89" s="64" t="s">
        <v>609</v>
      </c>
      <c r="B89" s="22" t="s">
        <v>153</v>
      </c>
      <c r="C89" s="22" t="s">
        <v>136</v>
      </c>
      <c r="D89" s="22" t="s">
        <v>162</v>
      </c>
      <c r="E89" s="22" t="s">
        <v>118</v>
      </c>
      <c r="F89" s="22" t="s">
        <v>498</v>
      </c>
      <c r="G89" s="22" t="s">
        <v>509</v>
      </c>
      <c r="H89" s="22" t="s">
        <v>164</v>
      </c>
      <c r="I89" s="90"/>
      <c r="J89" s="135">
        <v>117180</v>
      </c>
      <c r="K89" s="135">
        <v>117180</v>
      </c>
      <c r="L89" s="393">
        <v>117180</v>
      </c>
      <c r="M89" s="393">
        <v>117180</v>
      </c>
    </row>
    <row r="90" spans="1:13" ht="15.75">
      <c r="A90" s="235" t="s">
        <v>647</v>
      </c>
      <c r="B90" s="23" t="s">
        <v>153</v>
      </c>
      <c r="C90" s="23" t="s">
        <v>646</v>
      </c>
      <c r="D90" s="23"/>
      <c r="E90" s="23"/>
      <c r="F90" s="23"/>
      <c r="G90" s="23"/>
      <c r="H90" s="23"/>
      <c r="I90" s="24">
        <f>I91</f>
        <v>-80.6</v>
      </c>
      <c r="J90" s="157">
        <f>SUM(J91:J101)</f>
        <v>975588.14</v>
      </c>
      <c r="K90" s="157">
        <f>SUM(K91:K101)</f>
        <v>905903.39</v>
      </c>
      <c r="L90" s="391">
        <f>SUM(L91:L101)</f>
        <v>975588.14</v>
      </c>
      <c r="M90" s="391">
        <f>SUM(M91:M101)</f>
        <v>905903.39</v>
      </c>
    </row>
    <row r="91" spans="1:13" ht="65.25" customHeight="1">
      <c r="A91" s="64" t="s">
        <v>665</v>
      </c>
      <c r="B91" s="22" t="s">
        <v>153</v>
      </c>
      <c r="C91" s="22" t="s">
        <v>646</v>
      </c>
      <c r="D91" s="22" t="s">
        <v>61</v>
      </c>
      <c r="E91" s="22" t="s">
        <v>60</v>
      </c>
      <c r="F91" s="22" t="s">
        <v>69</v>
      </c>
      <c r="G91" s="22" t="s">
        <v>681</v>
      </c>
      <c r="H91" s="22" t="s">
        <v>164</v>
      </c>
      <c r="I91" s="24">
        <f>SUM(I92:I101)</f>
        <v>-80.6</v>
      </c>
      <c r="J91" s="135">
        <v>261044.73</v>
      </c>
      <c r="K91" s="135">
        <v>261044.73</v>
      </c>
      <c r="L91" s="393">
        <v>261044.73</v>
      </c>
      <c r="M91" s="393">
        <v>261044.73</v>
      </c>
    </row>
    <row r="92" spans="1:13" ht="63" customHeight="1">
      <c r="A92" s="64" t="s">
        <v>652</v>
      </c>
      <c r="B92" s="22" t="s">
        <v>153</v>
      </c>
      <c r="C92" s="22" t="s">
        <v>646</v>
      </c>
      <c r="D92" s="22" t="s">
        <v>61</v>
      </c>
      <c r="E92" s="22" t="s">
        <v>60</v>
      </c>
      <c r="F92" s="22" t="s">
        <v>69</v>
      </c>
      <c r="G92" s="22" t="s">
        <v>682</v>
      </c>
      <c r="H92" s="22" t="s">
        <v>164</v>
      </c>
      <c r="I92" s="86">
        <v>-80.6</v>
      </c>
      <c r="J92" s="135">
        <v>240038.66</v>
      </c>
      <c r="K92" s="135">
        <v>240038.66</v>
      </c>
      <c r="L92" s="393">
        <v>240038.66</v>
      </c>
      <c r="M92" s="393">
        <v>240038.66</v>
      </c>
    </row>
    <row r="93" spans="1:13" ht="78.75">
      <c r="A93" s="64" t="s">
        <v>1198</v>
      </c>
      <c r="B93" s="22" t="s">
        <v>153</v>
      </c>
      <c r="C93" s="22" t="s">
        <v>646</v>
      </c>
      <c r="D93" s="22" t="s">
        <v>61</v>
      </c>
      <c r="E93" s="22" t="s">
        <v>60</v>
      </c>
      <c r="F93" s="22" t="s">
        <v>69</v>
      </c>
      <c r="G93" s="22" t="s">
        <v>682</v>
      </c>
      <c r="H93" s="22" t="s">
        <v>974</v>
      </c>
      <c r="I93" s="86"/>
      <c r="J93" s="97"/>
      <c r="K93" s="97"/>
      <c r="L93" s="396"/>
      <c r="M93" s="396"/>
    </row>
    <row r="94" spans="1:13" ht="98.25" customHeight="1">
      <c r="A94" s="64" t="s">
        <v>1212</v>
      </c>
      <c r="B94" s="22" t="s">
        <v>153</v>
      </c>
      <c r="C94" s="22" t="s">
        <v>646</v>
      </c>
      <c r="D94" s="22" t="s">
        <v>61</v>
      </c>
      <c r="E94" s="22" t="s">
        <v>60</v>
      </c>
      <c r="F94" s="22" t="s">
        <v>69</v>
      </c>
      <c r="G94" s="22" t="s">
        <v>1213</v>
      </c>
      <c r="H94" s="22" t="s">
        <v>165</v>
      </c>
      <c r="I94" s="86"/>
      <c r="J94" s="97"/>
      <c r="K94" s="97"/>
      <c r="L94" s="396"/>
      <c r="M94" s="396"/>
    </row>
    <row r="95" spans="1:13" ht="69" customHeight="1">
      <c r="A95" s="64" t="s">
        <v>1203</v>
      </c>
      <c r="B95" s="22" t="s">
        <v>153</v>
      </c>
      <c r="C95" s="22" t="s">
        <v>646</v>
      </c>
      <c r="D95" s="22" t="s">
        <v>61</v>
      </c>
      <c r="E95" s="22" t="s">
        <v>60</v>
      </c>
      <c r="F95" s="22" t="s">
        <v>69</v>
      </c>
      <c r="G95" s="22" t="s">
        <v>1206</v>
      </c>
      <c r="H95" s="22" t="s">
        <v>164</v>
      </c>
      <c r="I95" s="86"/>
      <c r="J95" s="97"/>
      <c r="K95" s="97"/>
      <c r="L95" s="396"/>
      <c r="M95" s="396"/>
    </row>
    <row r="96" spans="1:13" ht="70.5" customHeight="1">
      <c r="A96" s="64" t="s">
        <v>1204</v>
      </c>
      <c r="B96" s="22" t="s">
        <v>153</v>
      </c>
      <c r="C96" s="22" t="s">
        <v>646</v>
      </c>
      <c r="D96" s="22" t="s">
        <v>61</v>
      </c>
      <c r="E96" s="22" t="s">
        <v>60</v>
      </c>
      <c r="F96" s="22" t="s">
        <v>69</v>
      </c>
      <c r="G96" s="22" t="s">
        <v>1207</v>
      </c>
      <c r="H96" s="22" t="s">
        <v>164</v>
      </c>
      <c r="I96" s="86"/>
      <c r="J96" s="97"/>
      <c r="K96" s="97"/>
      <c r="L96" s="396"/>
      <c r="M96" s="396"/>
    </row>
    <row r="97" spans="1:13" ht="63">
      <c r="A97" s="64" t="s">
        <v>1205</v>
      </c>
      <c r="B97" s="22" t="s">
        <v>153</v>
      </c>
      <c r="C97" s="22" t="s">
        <v>646</v>
      </c>
      <c r="D97" s="22" t="s">
        <v>61</v>
      </c>
      <c r="E97" s="22" t="s">
        <v>92</v>
      </c>
      <c r="F97" s="22" t="s">
        <v>69</v>
      </c>
      <c r="G97" s="22" t="s">
        <v>1208</v>
      </c>
      <c r="H97" s="22" t="s">
        <v>164</v>
      </c>
      <c r="I97" s="85"/>
      <c r="J97" s="97"/>
      <c r="K97" s="97"/>
      <c r="L97" s="396"/>
      <c r="M97" s="396"/>
    </row>
    <row r="98" spans="1:13" ht="110.25">
      <c r="A98" s="221" t="s">
        <v>755</v>
      </c>
      <c r="B98" s="133" t="s">
        <v>153</v>
      </c>
      <c r="C98" s="133" t="s">
        <v>646</v>
      </c>
      <c r="D98" s="133" t="s">
        <v>61</v>
      </c>
      <c r="E98" s="133" t="s">
        <v>60</v>
      </c>
      <c r="F98" s="133" t="s">
        <v>69</v>
      </c>
      <c r="G98" s="133" t="s">
        <v>1342</v>
      </c>
      <c r="H98" s="133" t="s">
        <v>53</v>
      </c>
      <c r="I98" s="164"/>
      <c r="J98" s="135">
        <v>0</v>
      </c>
      <c r="K98" s="135">
        <v>0</v>
      </c>
      <c r="L98" s="393">
        <v>0</v>
      </c>
      <c r="M98" s="393">
        <v>0</v>
      </c>
    </row>
    <row r="99" spans="1:13" ht="141.75">
      <c r="A99" s="221" t="s">
        <v>1319</v>
      </c>
      <c r="B99" s="133" t="s">
        <v>153</v>
      </c>
      <c r="C99" s="133" t="s">
        <v>646</v>
      </c>
      <c r="D99" s="133" t="s">
        <v>162</v>
      </c>
      <c r="E99" s="133" t="s">
        <v>118</v>
      </c>
      <c r="F99" s="133" t="s">
        <v>498</v>
      </c>
      <c r="G99" s="133" t="s">
        <v>1318</v>
      </c>
      <c r="H99" s="133" t="s">
        <v>165</v>
      </c>
      <c r="I99" s="164"/>
      <c r="J99" s="135">
        <v>69684.75</v>
      </c>
      <c r="K99" s="135"/>
      <c r="L99" s="393">
        <v>69684.75</v>
      </c>
      <c r="M99" s="393"/>
    </row>
    <row r="100" spans="1:13" ht="94.5">
      <c r="A100" s="221" t="s">
        <v>741</v>
      </c>
      <c r="B100" s="133" t="s">
        <v>153</v>
      </c>
      <c r="C100" s="133" t="s">
        <v>646</v>
      </c>
      <c r="D100" s="133" t="s">
        <v>61</v>
      </c>
      <c r="E100" s="133" t="s">
        <v>92</v>
      </c>
      <c r="F100" s="133" t="s">
        <v>69</v>
      </c>
      <c r="G100" s="133" t="s">
        <v>742</v>
      </c>
      <c r="H100" s="133" t="s">
        <v>53</v>
      </c>
      <c r="I100" s="164"/>
      <c r="J100" s="135">
        <v>0</v>
      </c>
      <c r="K100" s="135">
        <v>0</v>
      </c>
      <c r="L100" s="393">
        <v>0</v>
      </c>
      <c r="M100" s="393">
        <v>0</v>
      </c>
    </row>
    <row r="101" spans="1:13" ht="71.25" customHeight="1">
      <c r="A101" s="268" t="s">
        <v>654</v>
      </c>
      <c r="B101" s="133" t="s">
        <v>153</v>
      </c>
      <c r="C101" s="133" t="s">
        <v>646</v>
      </c>
      <c r="D101" s="133" t="s">
        <v>61</v>
      </c>
      <c r="E101" s="133" t="s">
        <v>92</v>
      </c>
      <c r="F101" s="133" t="s">
        <v>69</v>
      </c>
      <c r="G101" s="133" t="s">
        <v>683</v>
      </c>
      <c r="H101" s="133" t="s">
        <v>164</v>
      </c>
      <c r="I101" s="164"/>
      <c r="J101" s="135">
        <v>404820</v>
      </c>
      <c r="K101" s="135">
        <v>404820</v>
      </c>
      <c r="L101" s="393">
        <v>404820</v>
      </c>
      <c r="M101" s="393">
        <v>404820</v>
      </c>
    </row>
    <row r="102" spans="1:13" ht="15.75">
      <c r="A102" s="235" t="s">
        <v>137</v>
      </c>
      <c r="B102" s="30">
        <v>900</v>
      </c>
      <c r="C102" s="31" t="s">
        <v>138</v>
      </c>
      <c r="D102" s="31"/>
      <c r="E102" s="31"/>
      <c r="F102" s="31"/>
      <c r="G102" s="31"/>
      <c r="H102" s="31"/>
      <c r="I102" s="24" t="e">
        <f>I103+I105+#REF!</f>
        <v>#REF!</v>
      </c>
      <c r="J102" s="252">
        <f>J103</f>
        <v>19000</v>
      </c>
      <c r="K102" s="252">
        <f>K103</f>
        <v>19000</v>
      </c>
      <c r="L102" s="414">
        <f>L103</f>
        <v>19000</v>
      </c>
      <c r="M102" s="414">
        <f>M103</f>
        <v>19000</v>
      </c>
    </row>
    <row r="103" spans="1:13" ht="15.75">
      <c r="A103" s="235" t="s">
        <v>139</v>
      </c>
      <c r="B103" s="30">
        <v>900</v>
      </c>
      <c r="C103" s="31" t="s">
        <v>140</v>
      </c>
      <c r="D103" s="31"/>
      <c r="E103" s="31"/>
      <c r="F103" s="31"/>
      <c r="G103" s="31"/>
      <c r="H103" s="31"/>
      <c r="I103" s="70">
        <f>SUM(I104:I104)</f>
        <v>30</v>
      </c>
      <c r="J103" s="252">
        <f>SUM(J104:J108)</f>
        <v>19000</v>
      </c>
      <c r="K103" s="252">
        <f>SUM(K104:K108)</f>
        <v>19000</v>
      </c>
      <c r="L103" s="414">
        <f>SUM(L104:L108)</f>
        <v>19000</v>
      </c>
      <c r="M103" s="414">
        <f>SUM(M104:M108)</f>
        <v>19000</v>
      </c>
    </row>
    <row r="104" spans="1:13" ht="47.25">
      <c r="A104" s="64" t="s">
        <v>618</v>
      </c>
      <c r="B104" s="67">
        <v>900</v>
      </c>
      <c r="C104" s="68" t="s">
        <v>140</v>
      </c>
      <c r="D104" s="68" t="s">
        <v>58</v>
      </c>
      <c r="E104" s="68" t="s">
        <v>68</v>
      </c>
      <c r="F104" s="68" t="s">
        <v>69</v>
      </c>
      <c r="G104" s="68" t="s">
        <v>510</v>
      </c>
      <c r="H104" s="68" t="s">
        <v>110</v>
      </c>
      <c r="I104" s="85">
        <v>30</v>
      </c>
      <c r="J104" s="251"/>
      <c r="K104" s="251"/>
      <c r="L104" s="415"/>
      <c r="M104" s="415"/>
    </row>
    <row r="105" spans="1:13" ht="78.75">
      <c r="A105" s="154" t="s">
        <v>1038</v>
      </c>
      <c r="B105" s="67">
        <v>900</v>
      </c>
      <c r="C105" s="68" t="s">
        <v>140</v>
      </c>
      <c r="D105" s="68">
        <v>11</v>
      </c>
      <c r="E105" s="68" t="s">
        <v>60</v>
      </c>
      <c r="F105" s="68" t="s">
        <v>69</v>
      </c>
      <c r="G105" s="68" t="s">
        <v>511</v>
      </c>
      <c r="H105" s="68" t="s">
        <v>164</v>
      </c>
      <c r="I105" s="70" t="e">
        <f>#REF!+#REF!+#REF!</f>
        <v>#REF!</v>
      </c>
      <c r="J105" s="251">
        <v>4000</v>
      </c>
      <c r="K105" s="251">
        <v>4000</v>
      </c>
      <c r="L105" s="415">
        <v>4000</v>
      </c>
      <c r="M105" s="415">
        <v>4000</v>
      </c>
    </row>
    <row r="106" spans="1:13" ht="63">
      <c r="A106" s="69" t="s">
        <v>1343</v>
      </c>
      <c r="B106" s="67">
        <v>900</v>
      </c>
      <c r="C106" s="68" t="s">
        <v>140</v>
      </c>
      <c r="D106" s="68">
        <v>11</v>
      </c>
      <c r="E106" s="68" t="s">
        <v>68</v>
      </c>
      <c r="F106" s="68" t="s">
        <v>241</v>
      </c>
      <c r="G106" s="68" t="s">
        <v>1039</v>
      </c>
      <c r="H106" s="68" t="s">
        <v>164</v>
      </c>
      <c r="I106" s="125"/>
      <c r="J106" s="251"/>
      <c r="K106" s="251"/>
      <c r="L106" s="415"/>
      <c r="M106" s="415"/>
    </row>
    <row r="107" spans="1:13" ht="63">
      <c r="A107" s="64" t="s">
        <v>1229</v>
      </c>
      <c r="B107" s="67">
        <v>900</v>
      </c>
      <c r="C107" s="68" t="s">
        <v>140</v>
      </c>
      <c r="D107" s="68">
        <v>11</v>
      </c>
      <c r="E107" s="68" t="s">
        <v>68</v>
      </c>
      <c r="F107" s="68" t="s">
        <v>241</v>
      </c>
      <c r="G107" s="68" t="s">
        <v>1039</v>
      </c>
      <c r="H107" s="68" t="s">
        <v>164</v>
      </c>
      <c r="I107" s="125"/>
      <c r="J107" s="135">
        <v>9000</v>
      </c>
      <c r="K107" s="135">
        <v>9000</v>
      </c>
      <c r="L107" s="393">
        <v>9000</v>
      </c>
      <c r="M107" s="393">
        <v>9000</v>
      </c>
    </row>
    <row r="108" spans="1:13" ht="66.75" customHeight="1">
      <c r="A108" s="64" t="s">
        <v>1230</v>
      </c>
      <c r="B108" s="67">
        <v>900</v>
      </c>
      <c r="C108" s="68" t="s">
        <v>140</v>
      </c>
      <c r="D108" s="68">
        <v>11</v>
      </c>
      <c r="E108" s="68" t="s">
        <v>68</v>
      </c>
      <c r="F108" s="68" t="s">
        <v>241</v>
      </c>
      <c r="G108" s="68" t="s">
        <v>1231</v>
      </c>
      <c r="H108" s="68" t="s">
        <v>164</v>
      </c>
      <c r="I108" s="125"/>
      <c r="J108" s="251">
        <v>6000</v>
      </c>
      <c r="K108" s="251">
        <v>6000</v>
      </c>
      <c r="L108" s="415">
        <v>6000</v>
      </c>
      <c r="M108" s="415">
        <v>6000</v>
      </c>
    </row>
    <row r="109" spans="1:13" ht="15.75">
      <c r="A109" s="235" t="s">
        <v>141</v>
      </c>
      <c r="B109" s="23" t="s">
        <v>153</v>
      </c>
      <c r="C109" s="23" t="s">
        <v>142</v>
      </c>
      <c r="D109" s="23"/>
      <c r="E109" s="23"/>
      <c r="F109" s="23"/>
      <c r="G109" s="23"/>
      <c r="H109" s="23"/>
      <c r="I109" s="151"/>
      <c r="J109" s="157">
        <f>J110</f>
        <v>11002768</v>
      </c>
      <c r="K109" s="157">
        <f>K110</f>
        <v>10266280</v>
      </c>
      <c r="L109" s="391">
        <f>L110</f>
        <v>10876768</v>
      </c>
      <c r="M109" s="391">
        <f>M110</f>
        <v>10140280</v>
      </c>
    </row>
    <row r="110" spans="1:13" ht="20.25" customHeight="1">
      <c r="A110" s="235" t="s">
        <v>160</v>
      </c>
      <c r="B110" s="23" t="s">
        <v>153</v>
      </c>
      <c r="C110" s="23" t="s">
        <v>161</v>
      </c>
      <c r="D110" s="23"/>
      <c r="E110" s="23"/>
      <c r="F110" s="23"/>
      <c r="G110" s="23"/>
      <c r="H110" s="23"/>
      <c r="I110" s="85"/>
      <c r="J110" s="157">
        <f>SUM(J111:J126)</f>
        <v>11002768</v>
      </c>
      <c r="K110" s="157">
        <f>SUM(K111:K126)</f>
        <v>10266280</v>
      </c>
      <c r="L110" s="391">
        <f>SUM(L111:L126)</f>
        <v>10876768</v>
      </c>
      <c r="M110" s="391">
        <f>SUM(M111:M126)</f>
        <v>10140280</v>
      </c>
    </row>
    <row r="111" spans="1:13" ht="63.75" customHeight="1">
      <c r="A111" s="64" t="s">
        <v>398</v>
      </c>
      <c r="B111" s="22" t="s">
        <v>153</v>
      </c>
      <c r="C111" s="22" t="s">
        <v>161</v>
      </c>
      <c r="D111" s="22" t="s">
        <v>59</v>
      </c>
      <c r="E111" s="22" t="s">
        <v>68</v>
      </c>
      <c r="F111" s="22" t="s">
        <v>69</v>
      </c>
      <c r="G111" s="22" t="s">
        <v>512</v>
      </c>
      <c r="H111" s="22" t="s">
        <v>109</v>
      </c>
      <c r="I111" s="85"/>
      <c r="J111" s="204">
        <f>3998750-61700</f>
        <v>3937050</v>
      </c>
      <c r="K111" s="256">
        <f>3716924.9-61700</f>
        <v>3655224.9</v>
      </c>
      <c r="L111" s="417">
        <f>3998750-61700</f>
        <v>3937050</v>
      </c>
      <c r="M111" s="418">
        <f>3716924.9-61700</f>
        <v>3655224.9</v>
      </c>
    </row>
    <row r="112" spans="1:13" ht="82.5" customHeight="1">
      <c r="A112" s="221" t="s">
        <v>567</v>
      </c>
      <c r="B112" s="133" t="s">
        <v>153</v>
      </c>
      <c r="C112" s="133" t="s">
        <v>161</v>
      </c>
      <c r="D112" s="133" t="s">
        <v>59</v>
      </c>
      <c r="E112" s="133" t="s">
        <v>68</v>
      </c>
      <c r="F112" s="133" t="s">
        <v>69</v>
      </c>
      <c r="G112" s="133" t="s">
        <v>570</v>
      </c>
      <c r="H112" s="133" t="s">
        <v>109</v>
      </c>
      <c r="I112" s="164"/>
      <c r="J112" s="258">
        <v>0</v>
      </c>
      <c r="K112" s="258">
        <v>0</v>
      </c>
      <c r="L112" s="419">
        <v>0</v>
      </c>
      <c r="M112" s="419">
        <v>0</v>
      </c>
    </row>
    <row r="113" spans="1:13" ht="95.25" customHeight="1">
      <c r="A113" s="221" t="s">
        <v>513</v>
      </c>
      <c r="B113" s="133" t="s">
        <v>153</v>
      </c>
      <c r="C113" s="133" t="s">
        <v>161</v>
      </c>
      <c r="D113" s="133" t="s">
        <v>59</v>
      </c>
      <c r="E113" s="133" t="s">
        <v>68</v>
      </c>
      <c r="F113" s="133" t="s">
        <v>69</v>
      </c>
      <c r="G113" s="133" t="s">
        <v>514</v>
      </c>
      <c r="H113" s="133" t="s">
        <v>109</v>
      </c>
      <c r="I113" s="257">
        <f>I117</f>
        <v>0</v>
      </c>
      <c r="J113" s="258">
        <v>0</v>
      </c>
      <c r="K113" s="258">
        <v>0</v>
      </c>
      <c r="L113" s="419">
        <v>0</v>
      </c>
      <c r="M113" s="419">
        <v>0</v>
      </c>
    </row>
    <row r="114" spans="1:13" ht="78.75">
      <c r="A114" s="64" t="s">
        <v>405</v>
      </c>
      <c r="B114" s="22" t="s">
        <v>153</v>
      </c>
      <c r="C114" s="22" t="s">
        <v>161</v>
      </c>
      <c r="D114" s="22" t="s">
        <v>59</v>
      </c>
      <c r="E114" s="22" t="s">
        <v>60</v>
      </c>
      <c r="F114" s="22" t="s">
        <v>69</v>
      </c>
      <c r="G114" s="22" t="s">
        <v>515</v>
      </c>
      <c r="H114" s="22" t="s">
        <v>109</v>
      </c>
      <c r="I114" s="70"/>
      <c r="J114" s="236">
        <f>6590157+26561</f>
        <v>6616718</v>
      </c>
      <c r="K114" s="256">
        <v>6353055.1</v>
      </c>
      <c r="L114" s="397">
        <f>6590157+26561</f>
        <v>6616718</v>
      </c>
      <c r="M114" s="418">
        <v>6353055.1</v>
      </c>
    </row>
    <row r="115" spans="1:13" ht="84" customHeight="1">
      <c r="A115" s="221" t="s">
        <v>567</v>
      </c>
      <c r="B115" s="133" t="s">
        <v>153</v>
      </c>
      <c r="C115" s="133" t="s">
        <v>161</v>
      </c>
      <c r="D115" s="133" t="s">
        <v>59</v>
      </c>
      <c r="E115" s="133" t="s">
        <v>60</v>
      </c>
      <c r="F115" s="133" t="s">
        <v>69</v>
      </c>
      <c r="G115" s="133" t="s">
        <v>570</v>
      </c>
      <c r="H115" s="133" t="s">
        <v>109</v>
      </c>
      <c r="I115" s="273"/>
      <c r="J115" s="258">
        <v>0</v>
      </c>
      <c r="K115" s="258">
        <v>0</v>
      </c>
      <c r="L115" s="419">
        <v>0</v>
      </c>
      <c r="M115" s="419">
        <v>0</v>
      </c>
    </row>
    <row r="116" spans="1:13" ht="110.25">
      <c r="A116" s="221" t="s">
        <v>516</v>
      </c>
      <c r="B116" s="133" t="s">
        <v>153</v>
      </c>
      <c r="C116" s="133" t="s">
        <v>161</v>
      </c>
      <c r="D116" s="133" t="s">
        <v>59</v>
      </c>
      <c r="E116" s="133" t="s">
        <v>60</v>
      </c>
      <c r="F116" s="133" t="s">
        <v>69</v>
      </c>
      <c r="G116" s="133" t="s">
        <v>514</v>
      </c>
      <c r="H116" s="133" t="s">
        <v>109</v>
      </c>
      <c r="I116" s="273"/>
      <c r="J116" s="258">
        <v>0</v>
      </c>
      <c r="K116" s="258">
        <v>0</v>
      </c>
      <c r="L116" s="419">
        <v>0</v>
      </c>
      <c r="M116" s="419">
        <v>0</v>
      </c>
    </row>
    <row r="117" spans="1:13" ht="78.75">
      <c r="A117" s="221" t="s">
        <v>1154</v>
      </c>
      <c r="B117" s="133" t="s">
        <v>153</v>
      </c>
      <c r="C117" s="133" t="s">
        <v>161</v>
      </c>
      <c r="D117" s="133" t="s">
        <v>59</v>
      </c>
      <c r="E117" s="133" t="s">
        <v>68</v>
      </c>
      <c r="F117" s="133" t="s">
        <v>69</v>
      </c>
      <c r="G117" s="133" t="s">
        <v>1155</v>
      </c>
      <c r="H117" s="133" t="s">
        <v>109</v>
      </c>
      <c r="I117" s="257">
        <f>SUM(I118:I119)</f>
        <v>0</v>
      </c>
      <c r="J117" s="258"/>
      <c r="K117" s="258"/>
      <c r="L117" s="419"/>
      <c r="M117" s="419"/>
    </row>
    <row r="118" spans="1:13" ht="78.75">
      <c r="A118" s="221" t="s">
        <v>1160</v>
      </c>
      <c r="B118" s="133" t="s">
        <v>153</v>
      </c>
      <c r="C118" s="133" t="s">
        <v>161</v>
      </c>
      <c r="D118" s="133" t="s">
        <v>59</v>
      </c>
      <c r="E118" s="133" t="s">
        <v>68</v>
      </c>
      <c r="F118" s="133" t="s">
        <v>69</v>
      </c>
      <c r="G118" s="133" t="s">
        <v>1161</v>
      </c>
      <c r="H118" s="133" t="s">
        <v>109</v>
      </c>
      <c r="I118" s="164"/>
      <c r="J118" s="258"/>
      <c r="K118" s="258"/>
      <c r="L118" s="419"/>
      <c r="M118" s="419"/>
    </row>
    <row r="119" spans="1:13" ht="63">
      <c r="A119" s="221" t="s">
        <v>1189</v>
      </c>
      <c r="B119" s="133" t="s">
        <v>153</v>
      </c>
      <c r="C119" s="133" t="s">
        <v>161</v>
      </c>
      <c r="D119" s="133" t="s">
        <v>59</v>
      </c>
      <c r="E119" s="133" t="s">
        <v>68</v>
      </c>
      <c r="F119" s="133" t="s">
        <v>69</v>
      </c>
      <c r="G119" s="133" t="s">
        <v>1183</v>
      </c>
      <c r="H119" s="133" t="s">
        <v>109</v>
      </c>
      <c r="I119" s="164"/>
      <c r="J119" s="258"/>
      <c r="K119" s="258"/>
      <c r="L119" s="419"/>
      <c r="M119" s="419"/>
    </row>
    <row r="120" spans="1:13" ht="78.75">
      <c r="A120" s="221" t="s">
        <v>1156</v>
      </c>
      <c r="B120" s="133" t="s">
        <v>153</v>
      </c>
      <c r="C120" s="133" t="s">
        <v>161</v>
      </c>
      <c r="D120" s="133" t="s">
        <v>59</v>
      </c>
      <c r="E120" s="133" t="s">
        <v>60</v>
      </c>
      <c r="F120" s="133" t="s">
        <v>69</v>
      </c>
      <c r="G120" s="133" t="s">
        <v>1157</v>
      </c>
      <c r="H120" s="133" t="s">
        <v>109</v>
      </c>
      <c r="I120" s="164"/>
      <c r="J120" s="236">
        <v>191000</v>
      </c>
      <c r="K120" s="236"/>
      <c r="L120" s="397">
        <v>191000</v>
      </c>
      <c r="M120" s="397"/>
    </row>
    <row r="121" spans="1:13" ht="78.75">
      <c r="A121" s="221" t="s">
        <v>1158</v>
      </c>
      <c r="B121" s="133" t="s">
        <v>153</v>
      </c>
      <c r="C121" s="133" t="s">
        <v>161</v>
      </c>
      <c r="D121" s="133" t="s">
        <v>59</v>
      </c>
      <c r="E121" s="133" t="s">
        <v>60</v>
      </c>
      <c r="F121" s="133" t="s">
        <v>69</v>
      </c>
      <c r="G121" s="133" t="s">
        <v>1159</v>
      </c>
      <c r="H121" s="133" t="s">
        <v>109</v>
      </c>
      <c r="I121" s="255">
        <f>I122</f>
        <v>0</v>
      </c>
      <c r="J121" s="258"/>
      <c r="K121" s="258"/>
      <c r="L121" s="419"/>
      <c r="M121" s="419"/>
    </row>
    <row r="122" spans="1:13" ht="63">
      <c r="A122" s="221" t="s">
        <v>1190</v>
      </c>
      <c r="B122" s="133" t="s">
        <v>153</v>
      </c>
      <c r="C122" s="133" t="s">
        <v>161</v>
      </c>
      <c r="D122" s="133" t="s">
        <v>59</v>
      </c>
      <c r="E122" s="133" t="s">
        <v>60</v>
      </c>
      <c r="F122" s="133" t="s">
        <v>69</v>
      </c>
      <c r="G122" s="133" t="s">
        <v>1185</v>
      </c>
      <c r="H122" s="133" t="s">
        <v>109</v>
      </c>
      <c r="I122" s="255">
        <f>I13+I125+I132</f>
        <v>0</v>
      </c>
      <c r="J122" s="258"/>
      <c r="K122" s="258"/>
      <c r="L122" s="419"/>
      <c r="M122" s="419"/>
    </row>
    <row r="123" spans="1:13" ht="48.75" customHeight="1">
      <c r="A123" s="221" t="s">
        <v>1439</v>
      </c>
      <c r="B123" s="133" t="s">
        <v>153</v>
      </c>
      <c r="C123" s="133" t="s">
        <v>161</v>
      </c>
      <c r="D123" s="133" t="s">
        <v>59</v>
      </c>
      <c r="E123" s="133" t="s">
        <v>68</v>
      </c>
      <c r="F123" s="133" t="s">
        <v>119</v>
      </c>
      <c r="G123" s="133" t="s">
        <v>1487</v>
      </c>
      <c r="H123" s="133" t="s">
        <v>109</v>
      </c>
      <c r="I123" s="164">
        <v>-47.1</v>
      </c>
      <c r="J123" s="236">
        <f>70300+61700</f>
        <v>132000</v>
      </c>
      <c r="K123" s="236">
        <f>70300+61700</f>
        <v>132000</v>
      </c>
      <c r="L123" s="397">
        <f>70300+61700</f>
        <v>132000</v>
      </c>
      <c r="M123" s="397">
        <f>70300+61700</f>
        <v>132000</v>
      </c>
    </row>
    <row r="124" spans="1:13" ht="48.75" customHeight="1">
      <c r="A124" s="221" t="s">
        <v>1529</v>
      </c>
      <c r="B124" s="247">
        <v>900</v>
      </c>
      <c r="C124" s="248" t="s">
        <v>161</v>
      </c>
      <c r="D124" s="248" t="s">
        <v>59</v>
      </c>
      <c r="E124" s="248" t="s">
        <v>232</v>
      </c>
      <c r="F124" s="248" t="s">
        <v>69</v>
      </c>
      <c r="G124" s="248" t="s">
        <v>1527</v>
      </c>
      <c r="H124" s="248" t="s">
        <v>109</v>
      </c>
      <c r="I124" s="164"/>
      <c r="J124" s="251">
        <v>126000</v>
      </c>
      <c r="K124" s="251">
        <v>126000</v>
      </c>
      <c r="L124" s="397"/>
      <c r="M124" s="397"/>
    </row>
    <row r="125" spans="1:13" ht="66" customHeight="1">
      <c r="A125" s="221" t="s">
        <v>556</v>
      </c>
      <c r="B125" s="133" t="s">
        <v>153</v>
      </c>
      <c r="C125" s="133" t="s">
        <v>161</v>
      </c>
      <c r="D125" s="133" t="s">
        <v>59</v>
      </c>
      <c r="E125" s="133" t="s">
        <v>60</v>
      </c>
      <c r="F125" s="133" t="s">
        <v>69</v>
      </c>
      <c r="G125" s="133" t="s">
        <v>766</v>
      </c>
      <c r="H125" s="133" t="s">
        <v>109</v>
      </c>
      <c r="I125" s="257">
        <f>SUM(I127:I130)</f>
        <v>0</v>
      </c>
      <c r="J125" s="258"/>
      <c r="K125" s="258"/>
      <c r="L125" s="419"/>
      <c r="M125" s="419"/>
    </row>
    <row r="126" spans="1:13" ht="110.25">
      <c r="A126" s="221" t="s">
        <v>1237</v>
      </c>
      <c r="B126" s="133" t="s">
        <v>153</v>
      </c>
      <c r="C126" s="133" t="s">
        <v>161</v>
      </c>
      <c r="D126" s="133" t="s">
        <v>59</v>
      </c>
      <c r="E126" s="133" t="s">
        <v>60</v>
      </c>
      <c r="F126" s="133" t="s">
        <v>69</v>
      </c>
      <c r="G126" s="133" t="s">
        <v>1236</v>
      </c>
      <c r="H126" s="133" t="s">
        <v>109</v>
      </c>
      <c r="I126" s="273"/>
      <c r="J126" s="258"/>
      <c r="K126" s="258"/>
      <c r="L126" s="419"/>
      <c r="M126" s="419"/>
    </row>
    <row r="127" spans="1:13" ht="15.75">
      <c r="A127" s="235" t="s">
        <v>253</v>
      </c>
      <c r="B127" s="23" t="s">
        <v>153</v>
      </c>
      <c r="C127" s="23" t="s">
        <v>254</v>
      </c>
      <c r="D127" s="23"/>
      <c r="E127" s="23"/>
      <c r="F127" s="23"/>
      <c r="G127" s="23"/>
      <c r="H127" s="23"/>
      <c r="I127" s="85">
        <v>14.3</v>
      </c>
      <c r="J127" s="157">
        <f>J128+J131+J133+J135</f>
        <v>5550381.76</v>
      </c>
      <c r="K127" s="157">
        <f>K128+K131+K133+K135</f>
        <v>5550381.76</v>
      </c>
      <c r="L127" s="391">
        <f>L128+L131+L133+L135</f>
        <v>7697295.76</v>
      </c>
      <c r="M127" s="391">
        <f>M128+M131+M133+M135</f>
        <v>2928207.76</v>
      </c>
    </row>
    <row r="128" spans="1:13" ht="15.75">
      <c r="A128" s="235" t="s">
        <v>255</v>
      </c>
      <c r="B128" s="23" t="s">
        <v>153</v>
      </c>
      <c r="C128" s="23" t="s">
        <v>159</v>
      </c>
      <c r="D128" s="23"/>
      <c r="E128" s="23"/>
      <c r="F128" s="23"/>
      <c r="G128" s="23"/>
      <c r="H128" s="23"/>
      <c r="I128" s="85">
        <v>-14.3</v>
      </c>
      <c r="J128" s="24">
        <f>SUM(J129:J130)</f>
        <v>1254553.76</v>
      </c>
      <c r="K128" s="24">
        <f>SUM(K129:K130)</f>
        <v>1254553.76</v>
      </c>
      <c r="L128" s="408">
        <f>SUM(L129:L130)</f>
        <v>1254553.76</v>
      </c>
      <c r="M128" s="408">
        <f>SUM(M129:M130)</f>
        <v>1254553.76</v>
      </c>
    </row>
    <row r="129" spans="1:13" ht="78.75">
      <c r="A129" s="221" t="s">
        <v>608</v>
      </c>
      <c r="B129" s="133" t="s">
        <v>153</v>
      </c>
      <c r="C129" s="133" t="s">
        <v>159</v>
      </c>
      <c r="D129" s="133" t="s">
        <v>119</v>
      </c>
      <c r="E129" s="133" t="s">
        <v>68</v>
      </c>
      <c r="F129" s="133" t="s">
        <v>119</v>
      </c>
      <c r="G129" s="133" t="s">
        <v>517</v>
      </c>
      <c r="H129" s="133" t="s">
        <v>164</v>
      </c>
      <c r="I129" s="164"/>
      <c r="J129" s="135">
        <v>18540.2</v>
      </c>
      <c r="K129" s="135">
        <v>18540.2</v>
      </c>
      <c r="L129" s="393">
        <v>18540.2</v>
      </c>
      <c r="M129" s="393">
        <v>18540.2</v>
      </c>
    </row>
    <row r="130" spans="1:13" ht="78.75">
      <c r="A130" s="221" t="s">
        <v>469</v>
      </c>
      <c r="B130" s="133" t="s">
        <v>153</v>
      </c>
      <c r="C130" s="133" t="s">
        <v>159</v>
      </c>
      <c r="D130" s="133" t="s">
        <v>119</v>
      </c>
      <c r="E130" s="133" t="s">
        <v>68</v>
      </c>
      <c r="F130" s="133" t="s">
        <v>119</v>
      </c>
      <c r="G130" s="133" t="s">
        <v>517</v>
      </c>
      <c r="H130" s="133" t="s">
        <v>110</v>
      </c>
      <c r="I130" s="164"/>
      <c r="J130" s="236">
        <v>1236013.56</v>
      </c>
      <c r="K130" s="236">
        <v>1236013.56</v>
      </c>
      <c r="L130" s="397">
        <v>1236013.56</v>
      </c>
      <c r="M130" s="397">
        <v>1236013.56</v>
      </c>
    </row>
    <row r="131" spans="1:13" ht="15.75">
      <c r="A131" s="235" t="s">
        <v>200</v>
      </c>
      <c r="B131" s="23" t="s">
        <v>153</v>
      </c>
      <c r="C131" s="23" t="s">
        <v>201</v>
      </c>
      <c r="D131" s="23"/>
      <c r="E131" s="23"/>
      <c r="F131" s="23"/>
      <c r="G131" s="23"/>
      <c r="H131" s="23"/>
      <c r="I131" s="146"/>
      <c r="J131" s="24">
        <f>J132</f>
        <v>0</v>
      </c>
      <c r="K131" s="24">
        <f>K132</f>
        <v>0</v>
      </c>
      <c r="L131" s="408">
        <f>L132</f>
        <v>0</v>
      </c>
      <c r="M131" s="408">
        <f>M132</f>
        <v>0</v>
      </c>
    </row>
    <row r="132" spans="1:13" ht="47.25">
      <c r="A132" s="124" t="s">
        <v>998</v>
      </c>
      <c r="B132" s="22" t="s">
        <v>153</v>
      </c>
      <c r="C132" s="22" t="s">
        <v>201</v>
      </c>
      <c r="D132" s="22" t="s">
        <v>61</v>
      </c>
      <c r="E132" s="22" t="s">
        <v>232</v>
      </c>
      <c r="F132" s="22" t="s">
        <v>69</v>
      </c>
      <c r="G132" s="22" t="s">
        <v>1004</v>
      </c>
      <c r="H132" s="22" t="s">
        <v>110</v>
      </c>
      <c r="I132" s="24">
        <f>I133</f>
        <v>0</v>
      </c>
      <c r="J132" s="32"/>
      <c r="K132" s="32"/>
      <c r="L132" s="420"/>
      <c r="M132" s="420"/>
    </row>
    <row r="133" spans="1:13" ht="15.75">
      <c r="A133" s="235" t="s">
        <v>202</v>
      </c>
      <c r="B133" s="145" t="s">
        <v>153</v>
      </c>
      <c r="C133" s="145" t="s">
        <v>203</v>
      </c>
      <c r="D133" s="120"/>
      <c r="E133" s="120"/>
      <c r="F133" s="120"/>
      <c r="G133" s="120"/>
      <c r="H133" s="120"/>
      <c r="I133" s="85"/>
      <c r="J133" s="155">
        <f>J134</f>
        <v>4293828</v>
      </c>
      <c r="K133" s="155">
        <f>K134</f>
        <v>4293828</v>
      </c>
      <c r="L133" s="421">
        <f>L134</f>
        <v>6440742</v>
      </c>
      <c r="M133" s="421">
        <f>M134</f>
        <v>1671654</v>
      </c>
    </row>
    <row r="134" spans="1:13" ht="78.75">
      <c r="A134" s="221" t="s">
        <v>1058</v>
      </c>
      <c r="B134" s="133" t="s">
        <v>153</v>
      </c>
      <c r="C134" s="133" t="s">
        <v>203</v>
      </c>
      <c r="D134" s="133" t="s">
        <v>61</v>
      </c>
      <c r="E134" s="133" t="s">
        <v>1059</v>
      </c>
      <c r="F134" s="133" t="s">
        <v>69</v>
      </c>
      <c r="G134" s="133" t="s">
        <v>1232</v>
      </c>
      <c r="H134" s="133" t="s">
        <v>974</v>
      </c>
      <c r="I134" s="164"/>
      <c r="J134" s="253">
        <v>4293828</v>
      </c>
      <c r="K134" s="253">
        <v>4293828</v>
      </c>
      <c r="L134" s="409">
        <v>6440742</v>
      </c>
      <c r="M134" s="409">
        <v>1671654</v>
      </c>
    </row>
    <row r="135" spans="1:13" ht="15.75">
      <c r="A135" s="152" t="s">
        <v>328</v>
      </c>
      <c r="B135" s="145" t="s">
        <v>153</v>
      </c>
      <c r="C135" s="145" t="s">
        <v>327</v>
      </c>
      <c r="D135" s="145"/>
      <c r="E135" s="145"/>
      <c r="F135" s="145"/>
      <c r="G135" s="145"/>
      <c r="H135" s="145"/>
      <c r="I135" s="205" t="e">
        <f>I136+I184</f>
        <v>#REF!</v>
      </c>
      <c r="J135" s="157">
        <f>SUM(J136:J139)</f>
        <v>2000</v>
      </c>
      <c r="K135" s="157">
        <f>SUM(K136:K139)</f>
        <v>2000</v>
      </c>
      <c r="L135" s="391">
        <f>SUM(L136:L139)</f>
        <v>2000</v>
      </c>
      <c r="M135" s="391">
        <f>SUM(M136:M139)</f>
        <v>2000</v>
      </c>
    </row>
    <row r="136" spans="1:13" ht="66.75" customHeight="1">
      <c r="A136" s="154" t="s">
        <v>888</v>
      </c>
      <c r="B136" s="22" t="s">
        <v>153</v>
      </c>
      <c r="C136" s="22" t="s">
        <v>327</v>
      </c>
      <c r="D136" s="22" t="s">
        <v>1366</v>
      </c>
      <c r="E136" s="22" t="s">
        <v>68</v>
      </c>
      <c r="F136" s="22" t="s">
        <v>69</v>
      </c>
      <c r="G136" s="22" t="s">
        <v>869</v>
      </c>
      <c r="H136" s="22" t="s">
        <v>164</v>
      </c>
      <c r="I136" s="24" t="e">
        <f>I137+I146+I172+I178</f>
        <v>#REF!</v>
      </c>
      <c r="J136" s="93"/>
      <c r="K136" s="93"/>
      <c r="L136" s="422"/>
      <c r="M136" s="422"/>
    </row>
    <row r="137" spans="1:13" ht="66" customHeight="1">
      <c r="A137" s="154" t="s">
        <v>893</v>
      </c>
      <c r="B137" s="22" t="s">
        <v>153</v>
      </c>
      <c r="C137" s="22" t="s">
        <v>327</v>
      </c>
      <c r="D137" s="22" t="s">
        <v>1366</v>
      </c>
      <c r="E137" s="22" t="s">
        <v>68</v>
      </c>
      <c r="F137" s="22" t="s">
        <v>69</v>
      </c>
      <c r="G137" s="22" t="s">
        <v>956</v>
      </c>
      <c r="H137" s="22" t="s">
        <v>164</v>
      </c>
      <c r="I137" s="24">
        <f>SUM(I138:I145)</f>
        <v>500</v>
      </c>
      <c r="J137" s="93"/>
      <c r="K137" s="93"/>
      <c r="L137" s="422"/>
      <c r="M137" s="422"/>
    </row>
    <row r="138" spans="1:13" ht="78.75">
      <c r="A138" s="223" t="s">
        <v>1317</v>
      </c>
      <c r="B138" s="133" t="s">
        <v>153</v>
      </c>
      <c r="C138" s="133" t="s">
        <v>327</v>
      </c>
      <c r="D138" s="133" t="s">
        <v>1366</v>
      </c>
      <c r="E138" s="133" t="s">
        <v>68</v>
      </c>
      <c r="F138" s="133" t="s">
        <v>241</v>
      </c>
      <c r="G138" s="133" t="s">
        <v>1323</v>
      </c>
      <c r="H138" s="133" t="s">
        <v>164</v>
      </c>
      <c r="I138" s="164">
        <v>500</v>
      </c>
      <c r="J138" s="236">
        <v>0</v>
      </c>
      <c r="K138" s="236">
        <v>0</v>
      </c>
      <c r="L138" s="397">
        <v>0</v>
      </c>
      <c r="M138" s="397">
        <v>0</v>
      </c>
    </row>
    <row r="139" spans="1:13" ht="78.75">
      <c r="A139" s="223" t="s">
        <v>895</v>
      </c>
      <c r="B139" s="133" t="s">
        <v>153</v>
      </c>
      <c r="C139" s="133" t="s">
        <v>327</v>
      </c>
      <c r="D139" s="133" t="s">
        <v>1366</v>
      </c>
      <c r="E139" s="133" t="s">
        <v>68</v>
      </c>
      <c r="F139" s="133" t="s">
        <v>241</v>
      </c>
      <c r="G139" s="133" t="s">
        <v>957</v>
      </c>
      <c r="H139" s="133" t="s">
        <v>164</v>
      </c>
      <c r="I139" s="164"/>
      <c r="J139" s="236">
        <v>2000</v>
      </c>
      <c r="K139" s="236">
        <v>2000</v>
      </c>
      <c r="L139" s="397">
        <v>2000</v>
      </c>
      <c r="M139" s="397">
        <v>2000</v>
      </c>
    </row>
    <row r="140" spans="1:13" ht="15.75">
      <c r="A140" s="235" t="s">
        <v>204</v>
      </c>
      <c r="B140" s="23" t="s">
        <v>153</v>
      </c>
      <c r="C140" s="23" t="s">
        <v>205</v>
      </c>
      <c r="D140" s="23"/>
      <c r="E140" s="23"/>
      <c r="F140" s="23"/>
      <c r="G140" s="23"/>
      <c r="H140" s="23"/>
      <c r="I140" s="85"/>
      <c r="J140" s="24">
        <f>J141+J143</f>
        <v>863721</v>
      </c>
      <c r="K140" s="24">
        <f>K141+K143</f>
        <v>450000</v>
      </c>
      <c r="L140" s="408">
        <f>L141+L143</f>
        <v>863721</v>
      </c>
      <c r="M140" s="408">
        <f>M141+M143</f>
        <v>450000</v>
      </c>
    </row>
    <row r="141" spans="1:13" ht="18" customHeight="1">
      <c r="A141" s="235" t="s">
        <v>1026</v>
      </c>
      <c r="B141" s="23" t="s">
        <v>153</v>
      </c>
      <c r="C141" s="23" t="s">
        <v>1025</v>
      </c>
      <c r="D141" s="23"/>
      <c r="E141" s="23"/>
      <c r="F141" s="23"/>
      <c r="G141" s="23"/>
      <c r="H141" s="23"/>
      <c r="I141" s="85"/>
      <c r="J141" s="24">
        <f>SUM(J142:J142)</f>
        <v>0</v>
      </c>
      <c r="K141" s="24">
        <f>SUM(K142:K142)</f>
        <v>0</v>
      </c>
      <c r="L141" s="408">
        <f>SUM(L142:L142)</f>
        <v>0</v>
      </c>
      <c r="M141" s="408">
        <f>SUM(M142:M142)</f>
        <v>0</v>
      </c>
    </row>
    <row r="142" spans="1:13" ht="78.75">
      <c r="A142" s="266" t="s">
        <v>1028</v>
      </c>
      <c r="B142" s="133" t="s">
        <v>153</v>
      </c>
      <c r="C142" s="133" t="s">
        <v>1025</v>
      </c>
      <c r="D142" s="133" t="s">
        <v>58</v>
      </c>
      <c r="E142" s="133" t="s">
        <v>68</v>
      </c>
      <c r="F142" s="133" t="s">
        <v>69</v>
      </c>
      <c r="G142" s="133" t="s">
        <v>1027</v>
      </c>
      <c r="H142" s="133" t="s">
        <v>974</v>
      </c>
      <c r="I142" s="164"/>
      <c r="J142" s="253"/>
      <c r="K142" s="253"/>
      <c r="L142" s="409"/>
      <c r="M142" s="409"/>
    </row>
    <row r="143" spans="1:13" ht="15.75">
      <c r="A143" s="235" t="s">
        <v>229</v>
      </c>
      <c r="B143" s="23" t="s">
        <v>153</v>
      </c>
      <c r="C143" s="23" t="s">
        <v>206</v>
      </c>
      <c r="D143" s="23"/>
      <c r="E143" s="23"/>
      <c r="F143" s="23"/>
      <c r="G143" s="23"/>
      <c r="H143" s="23"/>
      <c r="I143" s="86"/>
      <c r="J143" s="24">
        <f>SUM(J144:J146)</f>
        <v>863721</v>
      </c>
      <c r="K143" s="24">
        <f>SUM(K144:K146)</f>
        <v>450000</v>
      </c>
      <c r="L143" s="408">
        <f>SUM(L144:L146)</f>
        <v>863721</v>
      </c>
      <c r="M143" s="408">
        <f>SUM(M144:M146)</f>
        <v>450000</v>
      </c>
    </row>
    <row r="144" spans="1:13" ht="84" customHeight="1">
      <c r="A144" s="64" t="s">
        <v>673</v>
      </c>
      <c r="B144" s="22" t="s">
        <v>153</v>
      </c>
      <c r="C144" s="22" t="s">
        <v>206</v>
      </c>
      <c r="D144" s="22" t="s">
        <v>292</v>
      </c>
      <c r="E144" s="22" t="s">
        <v>68</v>
      </c>
      <c r="F144" s="22" t="s">
        <v>69</v>
      </c>
      <c r="G144" s="22" t="s">
        <v>518</v>
      </c>
      <c r="H144" s="22" t="s">
        <v>164</v>
      </c>
      <c r="I144" s="85"/>
      <c r="J144" s="97">
        <v>250000</v>
      </c>
      <c r="K144" s="253">
        <v>250000</v>
      </c>
      <c r="L144" s="396">
        <v>250000</v>
      </c>
      <c r="M144" s="409">
        <v>250000</v>
      </c>
    </row>
    <row r="145" spans="1:13" ht="66.75" customHeight="1">
      <c r="A145" s="64" t="s">
        <v>916</v>
      </c>
      <c r="B145" s="22" t="s">
        <v>153</v>
      </c>
      <c r="C145" s="22" t="s">
        <v>206</v>
      </c>
      <c r="D145" s="22" t="s">
        <v>292</v>
      </c>
      <c r="E145" s="22" t="s">
        <v>60</v>
      </c>
      <c r="F145" s="22" t="s">
        <v>69</v>
      </c>
      <c r="G145" s="22" t="s">
        <v>519</v>
      </c>
      <c r="H145" s="22" t="s">
        <v>164</v>
      </c>
      <c r="I145" s="86"/>
      <c r="J145" s="97">
        <v>164120</v>
      </c>
      <c r="K145" s="253">
        <v>125000</v>
      </c>
      <c r="L145" s="396">
        <v>164120</v>
      </c>
      <c r="M145" s="409">
        <v>125000</v>
      </c>
    </row>
    <row r="146" spans="1:13" ht="63">
      <c r="A146" s="64" t="s">
        <v>917</v>
      </c>
      <c r="B146" s="22" t="s">
        <v>153</v>
      </c>
      <c r="C146" s="22" t="s">
        <v>206</v>
      </c>
      <c r="D146" s="22" t="s">
        <v>292</v>
      </c>
      <c r="E146" s="22" t="s">
        <v>60</v>
      </c>
      <c r="F146" s="22" t="s">
        <v>69</v>
      </c>
      <c r="G146" s="22" t="s">
        <v>501</v>
      </c>
      <c r="H146" s="22" t="s">
        <v>164</v>
      </c>
      <c r="I146" s="24" t="e">
        <f>I147+I156+I163+#REF!+#REF!+#REF!+I164+#REF!+I165+I166+I167+#REF!+#REF!+I168+I169</f>
        <v>#REF!</v>
      </c>
      <c r="J146" s="97">
        <v>449601</v>
      </c>
      <c r="K146" s="253">
        <v>75000</v>
      </c>
      <c r="L146" s="396">
        <v>449601</v>
      </c>
      <c r="M146" s="409">
        <v>75000</v>
      </c>
    </row>
    <row r="147" spans="1:13" ht="15.75">
      <c r="A147" s="233" t="s">
        <v>126</v>
      </c>
      <c r="B147" s="234" t="s">
        <v>127</v>
      </c>
      <c r="C147" s="234"/>
      <c r="D147" s="234"/>
      <c r="E147" s="234"/>
      <c r="F147" s="234"/>
      <c r="G147" s="234"/>
      <c r="H147" s="234"/>
      <c r="I147" s="71" t="e">
        <f>I148+I153+#REF!+#REF!+#REF!+#REF!</f>
        <v>#REF!</v>
      </c>
      <c r="J147" s="191">
        <f aca="true" t="shared" si="1" ref="J147:M148">J148</f>
        <v>1265857.24</v>
      </c>
      <c r="K147" s="191">
        <f t="shared" si="1"/>
        <v>1265857.24</v>
      </c>
      <c r="L147" s="423">
        <f t="shared" si="1"/>
        <v>1265857.24</v>
      </c>
      <c r="M147" s="423">
        <f t="shared" si="1"/>
        <v>1265857.24</v>
      </c>
    </row>
    <row r="148" spans="1:13" ht="15.75">
      <c r="A148" s="235" t="s">
        <v>283</v>
      </c>
      <c r="B148" s="23" t="s">
        <v>127</v>
      </c>
      <c r="C148" s="23" t="s">
        <v>284</v>
      </c>
      <c r="D148" s="23"/>
      <c r="E148" s="23"/>
      <c r="F148" s="23"/>
      <c r="G148" s="23"/>
      <c r="H148" s="23"/>
      <c r="I148" s="85"/>
      <c r="J148" s="157">
        <f t="shared" si="1"/>
        <v>1265857.24</v>
      </c>
      <c r="K148" s="157">
        <f t="shared" si="1"/>
        <v>1265857.24</v>
      </c>
      <c r="L148" s="391">
        <f t="shared" si="1"/>
        <v>1265857.24</v>
      </c>
      <c r="M148" s="391">
        <f t="shared" si="1"/>
        <v>1265857.24</v>
      </c>
    </row>
    <row r="149" spans="1:13" ht="60.75" customHeight="1">
      <c r="A149" s="235" t="s">
        <v>252</v>
      </c>
      <c r="B149" s="23" t="s">
        <v>127</v>
      </c>
      <c r="C149" s="23" t="s">
        <v>129</v>
      </c>
      <c r="D149" s="23"/>
      <c r="E149" s="23"/>
      <c r="F149" s="23"/>
      <c r="G149" s="23"/>
      <c r="H149" s="23"/>
      <c r="I149" s="85"/>
      <c r="J149" s="157">
        <f>SUM(J150:J153)</f>
        <v>1265857.24</v>
      </c>
      <c r="K149" s="157">
        <f>SUM(K150:K153)</f>
        <v>1265857.24</v>
      </c>
      <c r="L149" s="391">
        <f>SUM(L150:L153)</f>
        <v>1265857.24</v>
      </c>
      <c r="M149" s="391">
        <f>SUM(M150:M153)</f>
        <v>1265857.24</v>
      </c>
    </row>
    <row r="150" spans="1:13" ht="94.5">
      <c r="A150" s="124" t="s">
        <v>975</v>
      </c>
      <c r="B150" s="22" t="s">
        <v>127</v>
      </c>
      <c r="C150" s="22" t="s">
        <v>129</v>
      </c>
      <c r="D150" s="22" t="s">
        <v>119</v>
      </c>
      <c r="E150" s="22" t="s">
        <v>60</v>
      </c>
      <c r="F150" s="22" t="s">
        <v>119</v>
      </c>
      <c r="G150" s="22" t="s">
        <v>558</v>
      </c>
      <c r="H150" s="22" t="s">
        <v>163</v>
      </c>
      <c r="I150" s="85"/>
      <c r="J150" s="135">
        <v>489343.68</v>
      </c>
      <c r="K150" s="135">
        <v>489343.68</v>
      </c>
      <c r="L150" s="393">
        <v>489343.68</v>
      </c>
      <c r="M150" s="393">
        <v>489343.68</v>
      </c>
    </row>
    <row r="151" spans="1:13" ht="81.75" customHeight="1">
      <c r="A151" s="64" t="s">
        <v>520</v>
      </c>
      <c r="B151" s="22" t="s">
        <v>127</v>
      </c>
      <c r="C151" s="22" t="s">
        <v>129</v>
      </c>
      <c r="D151" s="22" t="s">
        <v>119</v>
      </c>
      <c r="E151" s="22" t="s">
        <v>60</v>
      </c>
      <c r="F151" s="22" t="s">
        <v>119</v>
      </c>
      <c r="G151" s="22" t="s">
        <v>521</v>
      </c>
      <c r="H151" s="22" t="s">
        <v>163</v>
      </c>
      <c r="I151" s="85"/>
      <c r="J151" s="135">
        <v>237904.56</v>
      </c>
      <c r="K151" s="135">
        <v>237904.56</v>
      </c>
      <c r="L151" s="393">
        <v>237904.56</v>
      </c>
      <c r="M151" s="393">
        <v>237904.56</v>
      </c>
    </row>
    <row r="152" spans="1:13" ht="63">
      <c r="A152" s="64" t="s">
        <v>591</v>
      </c>
      <c r="B152" s="22" t="s">
        <v>127</v>
      </c>
      <c r="C152" s="22" t="s">
        <v>129</v>
      </c>
      <c r="D152" s="22" t="s">
        <v>119</v>
      </c>
      <c r="E152" s="22" t="s">
        <v>60</v>
      </c>
      <c r="F152" s="22" t="s">
        <v>119</v>
      </c>
      <c r="G152" s="22" t="s">
        <v>521</v>
      </c>
      <c r="H152" s="22" t="s">
        <v>164</v>
      </c>
      <c r="I152" s="85"/>
      <c r="J152" s="135">
        <v>520479</v>
      </c>
      <c r="K152" s="135">
        <v>520479</v>
      </c>
      <c r="L152" s="393">
        <v>520479</v>
      </c>
      <c r="M152" s="393">
        <v>520479</v>
      </c>
    </row>
    <row r="153" spans="1:13" ht="47.25">
      <c r="A153" s="64" t="s">
        <v>958</v>
      </c>
      <c r="B153" s="22" t="s">
        <v>127</v>
      </c>
      <c r="C153" s="22" t="s">
        <v>129</v>
      </c>
      <c r="D153" s="22" t="s">
        <v>119</v>
      </c>
      <c r="E153" s="22" t="s">
        <v>60</v>
      </c>
      <c r="F153" s="22" t="s">
        <v>119</v>
      </c>
      <c r="G153" s="22" t="s">
        <v>521</v>
      </c>
      <c r="H153" s="22" t="s">
        <v>110</v>
      </c>
      <c r="I153" s="86"/>
      <c r="J153" s="135">
        <v>18130</v>
      </c>
      <c r="K153" s="135">
        <v>18130</v>
      </c>
      <c r="L153" s="393">
        <v>18130</v>
      </c>
      <c r="M153" s="393">
        <v>18130</v>
      </c>
    </row>
    <row r="154" spans="1:13" ht="21.75" customHeight="1">
      <c r="A154" s="235" t="s">
        <v>253</v>
      </c>
      <c r="B154" s="23" t="s">
        <v>127</v>
      </c>
      <c r="C154" s="23" t="s">
        <v>254</v>
      </c>
      <c r="D154" s="145"/>
      <c r="E154" s="145"/>
      <c r="F154" s="145"/>
      <c r="G154" s="145"/>
      <c r="H154" s="145"/>
      <c r="I154" s="86"/>
      <c r="J154" s="157">
        <f>J155</f>
        <v>0</v>
      </c>
      <c r="K154" s="157">
        <f>K155</f>
        <v>0</v>
      </c>
      <c r="L154" s="391">
        <f>L155</f>
        <v>0</v>
      </c>
      <c r="M154" s="391">
        <f>M155</f>
        <v>0</v>
      </c>
    </row>
    <row r="155" spans="1:13" ht="15.75">
      <c r="A155" s="235" t="s">
        <v>314</v>
      </c>
      <c r="B155" s="23" t="s">
        <v>127</v>
      </c>
      <c r="C155" s="23" t="s">
        <v>327</v>
      </c>
      <c r="D155" s="23"/>
      <c r="E155" s="23"/>
      <c r="F155" s="23"/>
      <c r="G155" s="23"/>
      <c r="H155" s="23"/>
      <c r="I155" s="85"/>
      <c r="J155" s="24">
        <f>J156+J157</f>
        <v>0</v>
      </c>
      <c r="K155" s="24">
        <f>K156+K157</f>
        <v>0</v>
      </c>
      <c r="L155" s="408">
        <f>L156+L157</f>
        <v>0</v>
      </c>
      <c r="M155" s="408">
        <f>M156+M157</f>
        <v>0</v>
      </c>
    </row>
    <row r="156" spans="1:13" ht="78.75">
      <c r="A156" s="154" t="s">
        <v>891</v>
      </c>
      <c r="B156" s="22" t="s">
        <v>127</v>
      </c>
      <c r="C156" s="22" t="s">
        <v>327</v>
      </c>
      <c r="D156" s="22" t="s">
        <v>1366</v>
      </c>
      <c r="E156" s="22" t="s">
        <v>68</v>
      </c>
      <c r="F156" s="22" t="s">
        <v>69</v>
      </c>
      <c r="G156" s="22" t="s">
        <v>538</v>
      </c>
      <c r="H156" s="22" t="s">
        <v>164</v>
      </c>
      <c r="I156" s="71">
        <f>SUM(I157:I160)</f>
        <v>-745</v>
      </c>
      <c r="J156" s="93">
        <v>0</v>
      </c>
      <c r="K156" s="93">
        <v>0</v>
      </c>
      <c r="L156" s="422">
        <v>0</v>
      </c>
      <c r="M156" s="422">
        <v>0</v>
      </c>
    </row>
    <row r="157" spans="1:13" ht="63">
      <c r="A157" s="154" t="s">
        <v>937</v>
      </c>
      <c r="B157" s="22" t="s">
        <v>127</v>
      </c>
      <c r="C157" s="22" t="s">
        <v>327</v>
      </c>
      <c r="D157" s="22" t="s">
        <v>1366</v>
      </c>
      <c r="E157" s="22" t="s">
        <v>68</v>
      </c>
      <c r="F157" s="22" t="s">
        <v>119</v>
      </c>
      <c r="G157" s="22" t="s">
        <v>959</v>
      </c>
      <c r="H157" s="22" t="s">
        <v>164</v>
      </c>
      <c r="I157" s="86"/>
      <c r="J157" s="93">
        <v>0</v>
      </c>
      <c r="K157" s="93">
        <v>0</v>
      </c>
      <c r="L157" s="422">
        <v>0</v>
      </c>
      <c r="M157" s="422">
        <v>0</v>
      </c>
    </row>
    <row r="158" spans="1:13" ht="31.5">
      <c r="A158" s="233" t="s">
        <v>89</v>
      </c>
      <c r="B158" s="234" t="s">
        <v>131</v>
      </c>
      <c r="C158" s="234"/>
      <c r="D158" s="234"/>
      <c r="E158" s="234"/>
      <c r="F158" s="234"/>
      <c r="G158" s="234"/>
      <c r="H158" s="234"/>
      <c r="I158" s="86">
        <v>-745</v>
      </c>
      <c r="J158" s="205">
        <f>J159++J233</f>
        <v>235891718.91000003</v>
      </c>
      <c r="K158" s="205">
        <f>K159++K233</f>
        <v>229128076.93</v>
      </c>
      <c r="L158" s="407">
        <f>L159++L233</f>
        <v>222826628.93</v>
      </c>
      <c r="M158" s="407">
        <f>M159++M233</f>
        <v>222826628.93</v>
      </c>
    </row>
    <row r="159" spans="1:13" ht="15.75">
      <c r="A159" s="235" t="s">
        <v>137</v>
      </c>
      <c r="B159" s="23" t="s">
        <v>131</v>
      </c>
      <c r="C159" s="23" t="s">
        <v>138</v>
      </c>
      <c r="D159" s="23"/>
      <c r="E159" s="23"/>
      <c r="F159" s="23"/>
      <c r="G159" s="23"/>
      <c r="H159" s="23"/>
      <c r="I159" s="86"/>
      <c r="J159" s="24">
        <f>J160+J174+J206+J215+J224</f>
        <v>233639206.11</v>
      </c>
      <c r="K159" s="24">
        <f>K160+K174+K206+K215+K224</f>
        <v>226863064.13</v>
      </c>
      <c r="L159" s="408">
        <f>L160+L174+L206+L215+L224</f>
        <v>220574116.13</v>
      </c>
      <c r="M159" s="408">
        <f>M160+M174+M206+M215+M224</f>
        <v>220561616.13</v>
      </c>
    </row>
    <row r="160" spans="1:13" ht="15.75">
      <c r="A160" s="235" t="s">
        <v>132</v>
      </c>
      <c r="B160" s="23" t="s">
        <v>131</v>
      </c>
      <c r="C160" s="23" t="s">
        <v>236</v>
      </c>
      <c r="D160" s="23"/>
      <c r="E160" s="23"/>
      <c r="F160" s="23"/>
      <c r="G160" s="23"/>
      <c r="H160" s="23"/>
      <c r="I160" s="86"/>
      <c r="J160" s="157">
        <f>SUM(J161:J173)</f>
        <v>79142003.64</v>
      </c>
      <c r="K160" s="157">
        <f>SUM(K161:K173)</f>
        <v>79142003.64</v>
      </c>
      <c r="L160" s="391">
        <f>SUM(L161:L173)</f>
        <v>79142003.64</v>
      </c>
      <c r="M160" s="391">
        <f>SUM(M161:M173)</f>
        <v>79142003.64</v>
      </c>
    </row>
    <row r="161" spans="1:13" ht="87.75" customHeight="1">
      <c r="A161" s="250" t="s">
        <v>431</v>
      </c>
      <c r="B161" s="133" t="s">
        <v>131</v>
      </c>
      <c r="C161" s="133" t="s">
        <v>236</v>
      </c>
      <c r="D161" s="133" t="s">
        <v>230</v>
      </c>
      <c r="E161" s="133" t="s">
        <v>68</v>
      </c>
      <c r="F161" s="133" t="s">
        <v>69</v>
      </c>
      <c r="G161" s="133" t="s">
        <v>522</v>
      </c>
      <c r="H161" s="133" t="s">
        <v>109</v>
      </c>
      <c r="I161" s="164"/>
      <c r="J161" s="135">
        <v>3743425.6</v>
      </c>
      <c r="K161" s="135">
        <v>3743425.6</v>
      </c>
      <c r="L161" s="393">
        <v>3743425.6</v>
      </c>
      <c r="M161" s="393">
        <v>3743425.6</v>
      </c>
    </row>
    <row r="162" spans="1:13" ht="129" customHeight="1">
      <c r="A162" s="221" t="s">
        <v>698</v>
      </c>
      <c r="B162" s="133" t="s">
        <v>131</v>
      </c>
      <c r="C162" s="133" t="s">
        <v>236</v>
      </c>
      <c r="D162" s="133" t="s">
        <v>230</v>
      </c>
      <c r="E162" s="133" t="s">
        <v>68</v>
      </c>
      <c r="F162" s="133" t="s">
        <v>69</v>
      </c>
      <c r="G162" s="133" t="s">
        <v>714</v>
      </c>
      <c r="H162" s="133" t="s">
        <v>109</v>
      </c>
      <c r="I162" s="164"/>
      <c r="J162" s="135">
        <v>11006249.37</v>
      </c>
      <c r="K162" s="135">
        <v>11006249.37</v>
      </c>
      <c r="L162" s="393">
        <v>11006249.37</v>
      </c>
      <c r="M162" s="393">
        <v>11006249.37</v>
      </c>
    </row>
    <row r="163" spans="1:13" ht="78.75" customHeight="1">
      <c r="A163" s="221" t="s">
        <v>1149</v>
      </c>
      <c r="B163" s="133" t="s">
        <v>131</v>
      </c>
      <c r="C163" s="133" t="s">
        <v>236</v>
      </c>
      <c r="D163" s="133" t="s">
        <v>230</v>
      </c>
      <c r="E163" s="133" t="s">
        <v>68</v>
      </c>
      <c r="F163" s="133" t="s">
        <v>69</v>
      </c>
      <c r="G163" s="133" t="s">
        <v>1139</v>
      </c>
      <c r="H163" s="133" t="s">
        <v>109</v>
      </c>
      <c r="I163" s="164">
        <v>745</v>
      </c>
      <c r="J163" s="135">
        <v>50000</v>
      </c>
      <c r="K163" s="135">
        <v>50000</v>
      </c>
      <c r="L163" s="393">
        <v>50000</v>
      </c>
      <c r="M163" s="393">
        <v>50000</v>
      </c>
    </row>
    <row r="164" spans="1:13" ht="94.5">
      <c r="A164" s="221" t="s">
        <v>699</v>
      </c>
      <c r="B164" s="133" t="s">
        <v>131</v>
      </c>
      <c r="C164" s="133" t="s">
        <v>236</v>
      </c>
      <c r="D164" s="133" t="s">
        <v>230</v>
      </c>
      <c r="E164" s="133" t="s">
        <v>68</v>
      </c>
      <c r="F164" s="133" t="s">
        <v>69</v>
      </c>
      <c r="G164" s="133" t="s">
        <v>715</v>
      </c>
      <c r="H164" s="133" t="s">
        <v>109</v>
      </c>
      <c r="I164" s="164"/>
      <c r="J164" s="135">
        <v>7189583.41</v>
      </c>
      <c r="K164" s="135">
        <v>7189583.41</v>
      </c>
      <c r="L164" s="393">
        <v>7189583.41</v>
      </c>
      <c r="M164" s="393">
        <v>7189583.41</v>
      </c>
    </row>
    <row r="165" spans="1:13" ht="110.25">
      <c r="A165" s="221" t="s">
        <v>701</v>
      </c>
      <c r="B165" s="133" t="s">
        <v>131</v>
      </c>
      <c r="C165" s="133" t="s">
        <v>236</v>
      </c>
      <c r="D165" s="133" t="s">
        <v>230</v>
      </c>
      <c r="E165" s="133" t="s">
        <v>68</v>
      </c>
      <c r="F165" s="133" t="s">
        <v>69</v>
      </c>
      <c r="G165" s="133" t="s">
        <v>716</v>
      </c>
      <c r="H165" s="133" t="s">
        <v>109</v>
      </c>
      <c r="I165" s="164"/>
      <c r="J165" s="135"/>
      <c r="K165" s="135"/>
      <c r="L165" s="393"/>
      <c r="M165" s="393"/>
    </row>
    <row r="166" spans="1:13" ht="98.25" customHeight="1">
      <c r="A166" s="221" t="s">
        <v>700</v>
      </c>
      <c r="B166" s="133" t="s">
        <v>131</v>
      </c>
      <c r="C166" s="133" t="s">
        <v>236</v>
      </c>
      <c r="D166" s="133" t="s">
        <v>230</v>
      </c>
      <c r="E166" s="133" t="s">
        <v>68</v>
      </c>
      <c r="F166" s="133" t="s">
        <v>69</v>
      </c>
      <c r="G166" s="133" t="s">
        <v>717</v>
      </c>
      <c r="H166" s="133" t="s">
        <v>109</v>
      </c>
      <c r="I166" s="164"/>
      <c r="J166" s="135">
        <v>6085290.54</v>
      </c>
      <c r="K166" s="135">
        <v>6085290.54</v>
      </c>
      <c r="L166" s="393">
        <v>6085290.54</v>
      </c>
      <c r="M166" s="393">
        <v>6085290.54</v>
      </c>
    </row>
    <row r="167" spans="1:13" ht="75.75" customHeight="1">
      <c r="A167" s="250" t="s">
        <v>433</v>
      </c>
      <c r="B167" s="133" t="s">
        <v>131</v>
      </c>
      <c r="C167" s="133" t="s">
        <v>236</v>
      </c>
      <c r="D167" s="133" t="s">
        <v>230</v>
      </c>
      <c r="E167" s="133" t="s">
        <v>68</v>
      </c>
      <c r="F167" s="133" t="s">
        <v>69</v>
      </c>
      <c r="G167" s="133" t="s">
        <v>523</v>
      </c>
      <c r="H167" s="133" t="s">
        <v>109</v>
      </c>
      <c r="I167" s="164"/>
      <c r="J167" s="236">
        <v>5906304.72</v>
      </c>
      <c r="K167" s="236">
        <v>5906304.72</v>
      </c>
      <c r="L167" s="397">
        <v>5906304.72</v>
      </c>
      <c r="M167" s="397">
        <v>5906304.72</v>
      </c>
    </row>
    <row r="168" spans="1:13" ht="81" customHeight="1">
      <c r="A168" s="221" t="s">
        <v>1150</v>
      </c>
      <c r="B168" s="133" t="s">
        <v>131</v>
      </c>
      <c r="C168" s="133" t="s">
        <v>236</v>
      </c>
      <c r="D168" s="133" t="s">
        <v>230</v>
      </c>
      <c r="E168" s="133" t="s">
        <v>68</v>
      </c>
      <c r="F168" s="133" t="s">
        <v>69</v>
      </c>
      <c r="G168" s="133" t="s">
        <v>1140</v>
      </c>
      <c r="H168" s="133" t="s">
        <v>109</v>
      </c>
      <c r="I168" s="164"/>
      <c r="J168" s="135"/>
      <c r="K168" s="135"/>
      <c r="L168" s="393"/>
      <c r="M168" s="393"/>
    </row>
    <row r="169" spans="1:13" ht="96" customHeight="1">
      <c r="A169" s="221" t="s">
        <v>1191</v>
      </c>
      <c r="B169" s="133" t="s">
        <v>131</v>
      </c>
      <c r="C169" s="133" t="s">
        <v>236</v>
      </c>
      <c r="D169" s="133" t="s">
        <v>230</v>
      </c>
      <c r="E169" s="133" t="s">
        <v>68</v>
      </c>
      <c r="F169" s="133" t="s">
        <v>69</v>
      </c>
      <c r="G169" s="133" t="s">
        <v>1171</v>
      </c>
      <c r="H169" s="133" t="s">
        <v>109</v>
      </c>
      <c r="I169" s="137" t="e">
        <f>I170+#REF!+#REF!</f>
        <v>#REF!</v>
      </c>
      <c r="J169" s="135"/>
      <c r="K169" s="135"/>
      <c r="L169" s="393"/>
      <c r="M169" s="393"/>
    </row>
    <row r="170" spans="1:13" ht="63.75" customHeight="1">
      <c r="A170" s="221" t="s">
        <v>1192</v>
      </c>
      <c r="B170" s="133" t="s">
        <v>131</v>
      </c>
      <c r="C170" s="133" t="s">
        <v>236</v>
      </c>
      <c r="D170" s="133" t="s">
        <v>230</v>
      </c>
      <c r="E170" s="133" t="s">
        <v>68</v>
      </c>
      <c r="F170" s="133" t="s">
        <v>69</v>
      </c>
      <c r="G170" s="133" t="s">
        <v>1172</v>
      </c>
      <c r="H170" s="133" t="s">
        <v>109</v>
      </c>
      <c r="I170" s="164"/>
      <c r="J170" s="135"/>
      <c r="K170" s="135"/>
      <c r="L170" s="393"/>
      <c r="M170" s="393"/>
    </row>
    <row r="171" spans="1:13" ht="96.75" customHeight="1">
      <c r="A171" s="250" t="s">
        <v>1030</v>
      </c>
      <c r="B171" s="133" t="s">
        <v>131</v>
      </c>
      <c r="C171" s="133" t="s">
        <v>236</v>
      </c>
      <c r="D171" s="133" t="s">
        <v>1031</v>
      </c>
      <c r="E171" s="133" t="s">
        <v>68</v>
      </c>
      <c r="F171" s="133" t="s">
        <v>69</v>
      </c>
      <c r="G171" s="133" t="s">
        <v>1032</v>
      </c>
      <c r="H171" s="133" t="s">
        <v>109</v>
      </c>
      <c r="I171" s="164"/>
      <c r="J171" s="135"/>
      <c r="K171" s="135"/>
      <c r="L171" s="393"/>
      <c r="M171" s="393"/>
    </row>
    <row r="172" spans="1:13" ht="156.75" customHeight="1">
      <c r="A172" s="274" t="s">
        <v>435</v>
      </c>
      <c r="B172" s="133" t="s">
        <v>131</v>
      </c>
      <c r="C172" s="133" t="s">
        <v>236</v>
      </c>
      <c r="D172" s="133" t="s">
        <v>230</v>
      </c>
      <c r="E172" s="133" t="s">
        <v>68</v>
      </c>
      <c r="F172" s="133" t="s">
        <v>69</v>
      </c>
      <c r="G172" s="133" t="s">
        <v>524</v>
      </c>
      <c r="H172" s="133" t="s">
        <v>109</v>
      </c>
      <c r="I172" s="255">
        <f>SUM(I173:I177)</f>
        <v>0</v>
      </c>
      <c r="J172" s="135">
        <v>293256</v>
      </c>
      <c r="K172" s="135">
        <v>293256</v>
      </c>
      <c r="L172" s="393">
        <v>293256</v>
      </c>
      <c r="M172" s="393">
        <v>293256</v>
      </c>
    </row>
    <row r="173" spans="1:13" ht="144" customHeight="1">
      <c r="A173" s="223" t="s">
        <v>1378</v>
      </c>
      <c r="B173" s="133" t="s">
        <v>131</v>
      </c>
      <c r="C173" s="133" t="s">
        <v>236</v>
      </c>
      <c r="D173" s="133" t="s">
        <v>230</v>
      </c>
      <c r="E173" s="133" t="s">
        <v>68</v>
      </c>
      <c r="F173" s="133" t="s">
        <v>69</v>
      </c>
      <c r="G173" s="133" t="s">
        <v>525</v>
      </c>
      <c r="H173" s="133" t="s">
        <v>109</v>
      </c>
      <c r="I173" s="259"/>
      <c r="J173" s="135">
        <v>44867894</v>
      </c>
      <c r="K173" s="135">
        <v>44867894</v>
      </c>
      <c r="L173" s="393">
        <v>44867894</v>
      </c>
      <c r="M173" s="393">
        <v>44867894</v>
      </c>
    </row>
    <row r="174" spans="1:21" ht="20.25" customHeight="1">
      <c r="A174" s="235" t="s">
        <v>237</v>
      </c>
      <c r="B174" s="23" t="s">
        <v>131</v>
      </c>
      <c r="C174" s="23" t="s">
        <v>238</v>
      </c>
      <c r="D174" s="23"/>
      <c r="E174" s="23"/>
      <c r="F174" s="23"/>
      <c r="G174" s="23"/>
      <c r="H174" s="23"/>
      <c r="I174" s="91"/>
      <c r="J174" s="157">
        <f>J175+J188+J195+J196+J197+J198+J201+J202+J203+J204+J205+J199+J200</f>
        <v>136894872.78</v>
      </c>
      <c r="K174" s="157">
        <f>K175+K188+K195+K196+K197+K198+K201+K202+K203+K204+K205+K199+K200</f>
        <v>136895555.98000002</v>
      </c>
      <c r="L174" s="391">
        <f>L175+L188+L195+L196+L197+L198+L201+L202+L203+L204+L205</f>
        <v>130645955.98</v>
      </c>
      <c r="M174" s="391">
        <f>M175+M188+M195+M196+M197+M198+M201+M202+M203+M204+M205</f>
        <v>130645955.98</v>
      </c>
      <c r="T174" s="185"/>
      <c r="U174" s="185"/>
    </row>
    <row r="175" spans="1:13" ht="15.75">
      <c r="A175" s="243" t="s">
        <v>48</v>
      </c>
      <c r="B175" s="20" t="s">
        <v>131</v>
      </c>
      <c r="C175" s="20" t="s">
        <v>238</v>
      </c>
      <c r="D175" s="20"/>
      <c r="E175" s="20"/>
      <c r="F175" s="20"/>
      <c r="G175" s="20"/>
      <c r="H175" s="20"/>
      <c r="I175" s="91"/>
      <c r="J175" s="157">
        <f>SUM(J176:J187)</f>
        <v>29634065.75</v>
      </c>
      <c r="K175" s="157">
        <f>SUM(K176:K187)</f>
        <v>29634293.490000002</v>
      </c>
      <c r="L175" s="391">
        <f>SUM(L176:L187)</f>
        <v>29634293.490000002</v>
      </c>
      <c r="M175" s="391">
        <f>SUM(M176:M187)</f>
        <v>29634293.490000002</v>
      </c>
    </row>
    <row r="176" spans="1:13" ht="78.75">
      <c r="A176" s="221" t="s">
        <v>441</v>
      </c>
      <c r="B176" s="133" t="s">
        <v>131</v>
      </c>
      <c r="C176" s="133" t="s">
        <v>238</v>
      </c>
      <c r="D176" s="133" t="s">
        <v>230</v>
      </c>
      <c r="E176" s="133" t="s">
        <v>60</v>
      </c>
      <c r="F176" s="133" t="s">
        <v>69</v>
      </c>
      <c r="G176" s="133" t="s">
        <v>526</v>
      </c>
      <c r="H176" s="133" t="s">
        <v>109</v>
      </c>
      <c r="I176" s="259"/>
      <c r="J176" s="135">
        <v>6510044.79</v>
      </c>
      <c r="K176" s="135">
        <v>6510272.53</v>
      </c>
      <c r="L176" s="393">
        <v>6510272.53</v>
      </c>
      <c r="M176" s="393">
        <v>6510272.53</v>
      </c>
    </row>
    <row r="177" spans="1:13" ht="110.25">
      <c r="A177" s="223" t="s">
        <v>702</v>
      </c>
      <c r="B177" s="133" t="s">
        <v>131</v>
      </c>
      <c r="C177" s="133" t="s">
        <v>238</v>
      </c>
      <c r="D177" s="133" t="s">
        <v>230</v>
      </c>
      <c r="E177" s="133" t="s">
        <v>60</v>
      </c>
      <c r="F177" s="133" t="s">
        <v>69</v>
      </c>
      <c r="G177" s="133" t="s">
        <v>718</v>
      </c>
      <c r="H177" s="133" t="s">
        <v>109</v>
      </c>
      <c r="I177" s="164"/>
      <c r="J177" s="135">
        <v>6193210.77</v>
      </c>
      <c r="K177" s="135">
        <v>6193210.77</v>
      </c>
      <c r="L177" s="393">
        <v>6193210.77</v>
      </c>
      <c r="M177" s="393">
        <v>6193210.77</v>
      </c>
    </row>
    <row r="178" spans="1:13" ht="75" customHeight="1">
      <c r="A178" s="223" t="s">
        <v>703</v>
      </c>
      <c r="B178" s="133" t="s">
        <v>131</v>
      </c>
      <c r="C178" s="133" t="s">
        <v>238</v>
      </c>
      <c r="D178" s="133" t="s">
        <v>230</v>
      </c>
      <c r="E178" s="133" t="s">
        <v>60</v>
      </c>
      <c r="F178" s="133" t="s">
        <v>69</v>
      </c>
      <c r="G178" s="133" t="s">
        <v>719</v>
      </c>
      <c r="H178" s="133" t="s">
        <v>109</v>
      </c>
      <c r="I178" s="255">
        <f>SUM(I179:I181)</f>
        <v>0</v>
      </c>
      <c r="J178" s="135">
        <v>7436808.27</v>
      </c>
      <c r="K178" s="135">
        <v>7436808.27</v>
      </c>
      <c r="L178" s="393">
        <v>7436808.27</v>
      </c>
      <c r="M178" s="393">
        <v>7436808.27</v>
      </c>
    </row>
    <row r="179" spans="1:13" ht="78.75">
      <c r="A179" s="223" t="s">
        <v>1151</v>
      </c>
      <c r="B179" s="133" t="s">
        <v>131</v>
      </c>
      <c r="C179" s="133" t="s">
        <v>238</v>
      </c>
      <c r="D179" s="133" t="s">
        <v>230</v>
      </c>
      <c r="E179" s="133" t="s">
        <v>60</v>
      </c>
      <c r="F179" s="133" t="s">
        <v>69</v>
      </c>
      <c r="G179" s="133" t="s">
        <v>1141</v>
      </c>
      <c r="H179" s="133" t="s">
        <v>109</v>
      </c>
      <c r="I179" s="164"/>
      <c r="J179" s="253">
        <v>535135.19</v>
      </c>
      <c r="K179" s="253">
        <v>535135.19</v>
      </c>
      <c r="L179" s="409">
        <v>535135.19</v>
      </c>
      <c r="M179" s="409">
        <v>535135.19</v>
      </c>
    </row>
    <row r="180" spans="1:13" ht="78.75">
      <c r="A180" s="223" t="s">
        <v>1152</v>
      </c>
      <c r="B180" s="133" t="s">
        <v>131</v>
      </c>
      <c r="C180" s="133" t="s">
        <v>238</v>
      </c>
      <c r="D180" s="133" t="s">
        <v>230</v>
      </c>
      <c r="E180" s="133" t="s">
        <v>60</v>
      </c>
      <c r="F180" s="133" t="s">
        <v>69</v>
      </c>
      <c r="G180" s="133" t="s">
        <v>1142</v>
      </c>
      <c r="H180" s="133" t="s">
        <v>109</v>
      </c>
      <c r="I180" s="164"/>
      <c r="J180" s="135">
        <v>0</v>
      </c>
      <c r="K180" s="135">
        <v>0</v>
      </c>
      <c r="L180" s="393">
        <v>0</v>
      </c>
      <c r="M180" s="393">
        <v>0</v>
      </c>
    </row>
    <row r="181" spans="1:13" ht="94.5">
      <c r="A181" s="223" t="s">
        <v>1153</v>
      </c>
      <c r="B181" s="133" t="s">
        <v>131</v>
      </c>
      <c r="C181" s="133" t="s">
        <v>238</v>
      </c>
      <c r="D181" s="133" t="s">
        <v>230</v>
      </c>
      <c r="E181" s="133" t="s">
        <v>60</v>
      </c>
      <c r="F181" s="133" t="s">
        <v>69</v>
      </c>
      <c r="G181" s="133" t="s">
        <v>1143</v>
      </c>
      <c r="H181" s="133" t="s">
        <v>109</v>
      </c>
      <c r="I181" s="164"/>
      <c r="J181" s="253"/>
      <c r="K181" s="253"/>
      <c r="L181" s="409"/>
      <c r="M181" s="409"/>
    </row>
    <row r="182" spans="1:13" ht="63">
      <c r="A182" s="223" t="s">
        <v>1193</v>
      </c>
      <c r="B182" s="133" t="s">
        <v>131</v>
      </c>
      <c r="C182" s="133" t="s">
        <v>238</v>
      </c>
      <c r="D182" s="133" t="s">
        <v>230</v>
      </c>
      <c r="E182" s="133" t="s">
        <v>60</v>
      </c>
      <c r="F182" s="133" t="s">
        <v>69</v>
      </c>
      <c r="G182" s="133" t="s">
        <v>1175</v>
      </c>
      <c r="H182" s="133" t="s">
        <v>109</v>
      </c>
      <c r="I182" s="164"/>
      <c r="J182" s="253"/>
      <c r="K182" s="253"/>
      <c r="L182" s="409"/>
      <c r="M182" s="409"/>
    </row>
    <row r="183" spans="1:13" ht="110.25">
      <c r="A183" s="154" t="s">
        <v>704</v>
      </c>
      <c r="B183" s="22" t="s">
        <v>131</v>
      </c>
      <c r="C183" s="22" t="s">
        <v>238</v>
      </c>
      <c r="D183" s="22" t="s">
        <v>230</v>
      </c>
      <c r="E183" s="22" t="s">
        <v>60</v>
      </c>
      <c r="F183" s="22" t="s">
        <v>69</v>
      </c>
      <c r="G183" s="22" t="s">
        <v>720</v>
      </c>
      <c r="H183" s="22" t="s">
        <v>109</v>
      </c>
      <c r="I183" s="85"/>
      <c r="J183" s="32"/>
      <c r="K183" s="32"/>
      <c r="L183" s="420"/>
      <c r="M183" s="420"/>
    </row>
    <row r="184" spans="1:13" ht="94.5">
      <c r="A184" s="223" t="s">
        <v>705</v>
      </c>
      <c r="B184" s="133" t="s">
        <v>131</v>
      </c>
      <c r="C184" s="133" t="s">
        <v>238</v>
      </c>
      <c r="D184" s="133" t="s">
        <v>230</v>
      </c>
      <c r="E184" s="133" t="s">
        <v>60</v>
      </c>
      <c r="F184" s="133" t="s">
        <v>69</v>
      </c>
      <c r="G184" s="133" t="s">
        <v>721</v>
      </c>
      <c r="H184" s="133" t="s">
        <v>109</v>
      </c>
      <c r="I184" s="255">
        <f>I185</f>
        <v>0</v>
      </c>
      <c r="J184" s="135">
        <v>6864666.73</v>
      </c>
      <c r="K184" s="135">
        <v>6864666.73</v>
      </c>
      <c r="L184" s="393">
        <v>6864666.73</v>
      </c>
      <c r="M184" s="393">
        <v>6864666.73</v>
      </c>
    </row>
    <row r="185" spans="1:13" ht="78.75">
      <c r="A185" s="223" t="s">
        <v>571</v>
      </c>
      <c r="B185" s="133" t="s">
        <v>131</v>
      </c>
      <c r="C185" s="133" t="s">
        <v>238</v>
      </c>
      <c r="D185" s="133" t="s">
        <v>230</v>
      </c>
      <c r="E185" s="133" t="s">
        <v>60</v>
      </c>
      <c r="F185" s="133" t="s">
        <v>69</v>
      </c>
      <c r="G185" s="133" t="s">
        <v>574</v>
      </c>
      <c r="H185" s="133" t="s">
        <v>109</v>
      </c>
      <c r="I185" s="255">
        <f>SUM(I186:I187)</f>
        <v>0</v>
      </c>
      <c r="J185" s="135">
        <v>1744200</v>
      </c>
      <c r="K185" s="135">
        <v>1744200</v>
      </c>
      <c r="L185" s="393">
        <v>1744200</v>
      </c>
      <c r="M185" s="393">
        <v>1744200</v>
      </c>
    </row>
    <row r="186" spans="1:13" ht="102.75" customHeight="1">
      <c r="A186" s="223" t="s">
        <v>696</v>
      </c>
      <c r="B186" s="133" t="s">
        <v>131</v>
      </c>
      <c r="C186" s="133" t="s">
        <v>238</v>
      </c>
      <c r="D186" s="133">
        <v>11</v>
      </c>
      <c r="E186" s="133" t="s">
        <v>68</v>
      </c>
      <c r="F186" s="133" t="s">
        <v>69</v>
      </c>
      <c r="G186" s="133" t="s">
        <v>528</v>
      </c>
      <c r="H186" s="133" t="s">
        <v>109</v>
      </c>
      <c r="I186" s="164"/>
      <c r="J186" s="135">
        <v>350000</v>
      </c>
      <c r="K186" s="135">
        <v>350000</v>
      </c>
      <c r="L186" s="393">
        <v>350000</v>
      </c>
      <c r="M186" s="393">
        <v>350000</v>
      </c>
    </row>
    <row r="187" spans="1:13" ht="99" customHeight="1">
      <c r="A187" s="275" t="s">
        <v>993</v>
      </c>
      <c r="B187" s="133" t="s">
        <v>131</v>
      </c>
      <c r="C187" s="133" t="s">
        <v>238</v>
      </c>
      <c r="D187" s="133" t="s">
        <v>230</v>
      </c>
      <c r="E187" s="133" t="s">
        <v>60</v>
      </c>
      <c r="F187" s="133" t="s">
        <v>69</v>
      </c>
      <c r="G187" s="133" t="s">
        <v>994</v>
      </c>
      <c r="H187" s="133" t="s">
        <v>109</v>
      </c>
      <c r="I187" s="164"/>
      <c r="J187" s="253"/>
      <c r="K187" s="253"/>
      <c r="L187" s="409"/>
      <c r="M187" s="409"/>
    </row>
    <row r="188" spans="1:13" ht="15.75">
      <c r="A188" s="452" t="s">
        <v>294</v>
      </c>
      <c r="B188" s="20" t="s">
        <v>131</v>
      </c>
      <c r="C188" s="20" t="s">
        <v>238</v>
      </c>
      <c r="D188" s="20"/>
      <c r="E188" s="20"/>
      <c r="F188" s="20"/>
      <c r="G188" s="20"/>
      <c r="H188" s="20"/>
      <c r="I188" s="24">
        <f>SUM(I189:I192)</f>
        <v>-275.2</v>
      </c>
      <c r="J188" s="260">
        <f>SUM(J189:J194)</f>
        <v>17535187.03</v>
      </c>
      <c r="K188" s="260">
        <f>SUM(K189:K194)</f>
        <v>17535642.490000002</v>
      </c>
      <c r="L188" s="260">
        <f>SUM(L189:L194)</f>
        <v>17535642.490000002</v>
      </c>
      <c r="M188" s="260">
        <f>SUM(M189:M194)</f>
        <v>17535642.490000002</v>
      </c>
    </row>
    <row r="189" spans="1:13" ht="100.5" customHeight="1">
      <c r="A189" s="221" t="s">
        <v>529</v>
      </c>
      <c r="B189" s="133" t="s">
        <v>131</v>
      </c>
      <c r="C189" s="133" t="s">
        <v>238</v>
      </c>
      <c r="D189" s="133" t="s">
        <v>230</v>
      </c>
      <c r="E189" s="133" t="s">
        <v>60</v>
      </c>
      <c r="F189" s="133" t="s">
        <v>69</v>
      </c>
      <c r="G189" s="133" t="s">
        <v>530</v>
      </c>
      <c r="H189" s="133" t="s">
        <v>163</v>
      </c>
      <c r="I189" s="164"/>
      <c r="J189" s="135">
        <v>5582697.84</v>
      </c>
      <c r="K189" s="135">
        <v>5582697.84</v>
      </c>
      <c r="L189" s="393">
        <v>5582697.84</v>
      </c>
      <c r="M189" s="393">
        <v>5582697.84</v>
      </c>
    </row>
    <row r="190" spans="1:13" ht="51.75" customHeight="1">
      <c r="A190" s="221" t="s">
        <v>603</v>
      </c>
      <c r="B190" s="133" t="s">
        <v>131</v>
      </c>
      <c r="C190" s="133" t="s">
        <v>238</v>
      </c>
      <c r="D190" s="133" t="s">
        <v>230</v>
      </c>
      <c r="E190" s="133" t="s">
        <v>60</v>
      </c>
      <c r="F190" s="133" t="s">
        <v>69</v>
      </c>
      <c r="G190" s="133" t="s">
        <v>530</v>
      </c>
      <c r="H190" s="133" t="s">
        <v>164</v>
      </c>
      <c r="I190" s="164"/>
      <c r="J190" s="253">
        <v>9970553.27</v>
      </c>
      <c r="K190" s="253">
        <v>9971008.73</v>
      </c>
      <c r="L190" s="409">
        <v>9971008.73</v>
      </c>
      <c r="M190" s="409">
        <v>9971008.73</v>
      </c>
    </row>
    <row r="191" spans="1:13" ht="33" customHeight="1">
      <c r="A191" s="221" t="s">
        <v>445</v>
      </c>
      <c r="B191" s="133" t="s">
        <v>131</v>
      </c>
      <c r="C191" s="133" t="s">
        <v>238</v>
      </c>
      <c r="D191" s="133" t="s">
        <v>230</v>
      </c>
      <c r="E191" s="133" t="s">
        <v>60</v>
      </c>
      <c r="F191" s="133" t="s">
        <v>69</v>
      </c>
      <c r="G191" s="133" t="s">
        <v>530</v>
      </c>
      <c r="H191" s="133" t="s">
        <v>165</v>
      </c>
      <c r="I191" s="164"/>
      <c r="J191" s="135">
        <v>202935.92</v>
      </c>
      <c r="K191" s="135">
        <v>202935.92</v>
      </c>
      <c r="L191" s="393">
        <v>202935.92</v>
      </c>
      <c r="M191" s="393">
        <v>202935.92</v>
      </c>
    </row>
    <row r="192" spans="1:13" ht="63">
      <c r="A192" s="223" t="s">
        <v>604</v>
      </c>
      <c r="B192" s="133" t="s">
        <v>131</v>
      </c>
      <c r="C192" s="133" t="s">
        <v>238</v>
      </c>
      <c r="D192" s="133" t="s">
        <v>230</v>
      </c>
      <c r="E192" s="133" t="s">
        <v>60</v>
      </c>
      <c r="F192" s="133" t="s">
        <v>69</v>
      </c>
      <c r="G192" s="133" t="s">
        <v>575</v>
      </c>
      <c r="H192" s="133" t="s">
        <v>164</v>
      </c>
      <c r="I192" s="255">
        <f>I193</f>
        <v>-275.2</v>
      </c>
      <c r="J192" s="135">
        <v>323000</v>
      </c>
      <c r="K192" s="135">
        <v>323000</v>
      </c>
      <c r="L192" s="393">
        <v>323000</v>
      </c>
      <c r="M192" s="393">
        <v>323000</v>
      </c>
    </row>
    <row r="193" spans="1:13" ht="110.25">
      <c r="A193" s="223" t="s">
        <v>743</v>
      </c>
      <c r="B193" s="133" t="s">
        <v>131</v>
      </c>
      <c r="C193" s="133" t="s">
        <v>238</v>
      </c>
      <c r="D193" s="133">
        <v>11</v>
      </c>
      <c r="E193" s="133" t="s">
        <v>68</v>
      </c>
      <c r="F193" s="133" t="s">
        <v>69</v>
      </c>
      <c r="G193" s="133" t="s">
        <v>697</v>
      </c>
      <c r="H193" s="133" t="s">
        <v>163</v>
      </c>
      <c r="I193" s="255">
        <f>SUM(I195:I201)</f>
        <v>-275.2</v>
      </c>
      <c r="J193" s="135">
        <v>56000</v>
      </c>
      <c r="K193" s="135">
        <v>56000</v>
      </c>
      <c r="L193" s="393">
        <v>56000</v>
      </c>
      <c r="M193" s="393">
        <v>56000</v>
      </c>
    </row>
    <row r="194" spans="1:13" ht="67.5" customHeight="1">
      <c r="A194" s="223" t="s">
        <v>605</v>
      </c>
      <c r="B194" s="133" t="s">
        <v>131</v>
      </c>
      <c r="C194" s="133" t="s">
        <v>238</v>
      </c>
      <c r="D194" s="133" t="s">
        <v>230</v>
      </c>
      <c r="E194" s="133" t="s">
        <v>60</v>
      </c>
      <c r="F194" s="133" t="s">
        <v>69</v>
      </c>
      <c r="G194" s="133" t="s">
        <v>531</v>
      </c>
      <c r="H194" s="133" t="s">
        <v>164</v>
      </c>
      <c r="I194" s="255"/>
      <c r="J194" s="135">
        <v>1400000</v>
      </c>
      <c r="K194" s="135">
        <v>1400000</v>
      </c>
      <c r="L194" s="393">
        <v>1400000</v>
      </c>
      <c r="M194" s="393">
        <v>1400000</v>
      </c>
    </row>
    <row r="195" spans="1:13" ht="114.75" customHeight="1">
      <c r="A195" s="221" t="s">
        <v>727</v>
      </c>
      <c r="B195" s="133" t="s">
        <v>131</v>
      </c>
      <c r="C195" s="133" t="s">
        <v>238</v>
      </c>
      <c r="D195" s="133" t="s">
        <v>230</v>
      </c>
      <c r="E195" s="133" t="s">
        <v>60</v>
      </c>
      <c r="F195" s="133" t="s">
        <v>69</v>
      </c>
      <c r="G195" s="133" t="s">
        <v>532</v>
      </c>
      <c r="H195" s="133" t="s">
        <v>164</v>
      </c>
      <c r="I195" s="164">
        <v>-216</v>
      </c>
      <c r="J195" s="253">
        <v>35942</v>
      </c>
      <c r="K195" s="253">
        <v>35942</v>
      </c>
      <c r="L195" s="409">
        <v>35942</v>
      </c>
      <c r="M195" s="409">
        <v>35942</v>
      </c>
    </row>
    <row r="196" spans="1:13" ht="209.25" customHeight="1">
      <c r="A196" s="223" t="s">
        <v>728</v>
      </c>
      <c r="B196" s="133" t="s">
        <v>131</v>
      </c>
      <c r="C196" s="133" t="s">
        <v>238</v>
      </c>
      <c r="D196" s="133" t="s">
        <v>230</v>
      </c>
      <c r="E196" s="133" t="s">
        <v>60</v>
      </c>
      <c r="F196" s="133" t="s">
        <v>69</v>
      </c>
      <c r="G196" s="133" t="s">
        <v>533</v>
      </c>
      <c r="H196" s="133" t="s">
        <v>163</v>
      </c>
      <c r="I196" s="164">
        <v>-53.2</v>
      </c>
      <c r="J196" s="253">
        <v>14929201</v>
      </c>
      <c r="K196" s="253">
        <v>14929201</v>
      </c>
      <c r="L196" s="409">
        <v>14929201</v>
      </c>
      <c r="M196" s="409">
        <v>14929201</v>
      </c>
    </row>
    <row r="197" spans="1:13" ht="177.75" customHeight="1">
      <c r="A197" s="223" t="s">
        <v>729</v>
      </c>
      <c r="B197" s="133" t="s">
        <v>131</v>
      </c>
      <c r="C197" s="133" t="s">
        <v>238</v>
      </c>
      <c r="D197" s="133" t="s">
        <v>230</v>
      </c>
      <c r="E197" s="133" t="s">
        <v>60</v>
      </c>
      <c r="F197" s="133" t="s">
        <v>69</v>
      </c>
      <c r="G197" s="133" t="s">
        <v>533</v>
      </c>
      <c r="H197" s="133" t="s">
        <v>164</v>
      </c>
      <c r="I197" s="164">
        <v>-6</v>
      </c>
      <c r="J197" s="253">
        <v>162328</v>
      </c>
      <c r="K197" s="253">
        <v>162328</v>
      </c>
      <c r="L197" s="409">
        <v>162328</v>
      </c>
      <c r="M197" s="409">
        <v>162328</v>
      </c>
    </row>
    <row r="198" spans="1:13" ht="156" customHeight="1">
      <c r="A198" s="223" t="s">
        <v>730</v>
      </c>
      <c r="B198" s="133" t="s">
        <v>131</v>
      </c>
      <c r="C198" s="133" t="s">
        <v>238</v>
      </c>
      <c r="D198" s="133" t="s">
        <v>230</v>
      </c>
      <c r="E198" s="133" t="s">
        <v>60</v>
      </c>
      <c r="F198" s="133" t="s">
        <v>69</v>
      </c>
      <c r="G198" s="133" t="s">
        <v>533</v>
      </c>
      <c r="H198" s="133" t="s">
        <v>109</v>
      </c>
      <c r="I198" s="164"/>
      <c r="J198" s="253">
        <v>61615512</v>
      </c>
      <c r="K198" s="253">
        <v>61615512</v>
      </c>
      <c r="L198" s="409">
        <v>61615512</v>
      </c>
      <c r="M198" s="409">
        <v>61615512</v>
      </c>
    </row>
    <row r="199" spans="1:17" ht="173.25" customHeight="1">
      <c r="A199" s="69" t="s">
        <v>1576</v>
      </c>
      <c r="B199" s="22" t="s">
        <v>131</v>
      </c>
      <c r="C199" s="22" t="s">
        <v>238</v>
      </c>
      <c r="D199" s="22" t="s">
        <v>230</v>
      </c>
      <c r="E199" s="22" t="s">
        <v>60</v>
      </c>
      <c r="F199" s="22" t="s">
        <v>69</v>
      </c>
      <c r="G199" s="133" t="s">
        <v>1574</v>
      </c>
      <c r="H199" s="22" t="s">
        <v>163</v>
      </c>
      <c r="I199" s="164"/>
      <c r="J199" s="253">
        <v>1406160</v>
      </c>
      <c r="K199" s="253">
        <v>1406160</v>
      </c>
      <c r="L199" s="409"/>
      <c r="M199" s="409"/>
      <c r="Q199" s="200"/>
    </row>
    <row r="200" spans="1:17" ht="148.5" customHeight="1">
      <c r="A200" s="69" t="s">
        <v>1575</v>
      </c>
      <c r="B200" s="22" t="s">
        <v>131</v>
      </c>
      <c r="C200" s="22" t="s">
        <v>238</v>
      </c>
      <c r="D200" s="22" t="s">
        <v>230</v>
      </c>
      <c r="E200" s="22" t="s">
        <v>60</v>
      </c>
      <c r="F200" s="22" t="s">
        <v>69</v>
      </c>
      <c r="G200" s="133" t="s">
        <v>1574</v>
      </c>
      <c r="H200" s="22" t="s">
        <v>109</v>
      </c>
      <c r="I200" s="164"/>
      <c r="J200" s="253">
        <v>4843440</v>
      </c>
      <c r="K200" s="253">
        <v>4843440</v>
      </c>
      <c r="L200" s="409"/>
      <c r="M200" s="409"/>
      <c r="Q200" s="200"/>
    </row>
    <row r="201" spans="1:13" ht="79.5" customHeight="1">
      <c r="A201" s="223" t="s">
        <v>992</v>
      </c>
      <c r="B201" s="133" t="s">
        <v>131</v>
      </c>
      <c r="C201" s="133" t="s">
        <v>238</v>
      </c>
      <c r="D201" s="133" t="s">
        <v>230</v>
      </c>
      <c r="E201" s="133" t="s">
        <v>60</v>
      </c>
      <c r="F201" s="133" t="s">
        <v>69</v>
      </c>
      <c r="G201" s="133" t="s">
        <v>990</v>
      </c>
      <c r="H201" s="133" t="s">
        <v>164</v>
      </c>
      <c r="I201" s="164"/>
      <c r="J201" s="253"/>
      <c r="K201" s="253"/>
      <c r="L201" s="409"/>
      <c r="M201" s="409"/>
    </row>
    <row r="202" spans="1:13" ht="80.25" customHeight="1">
      <c r="A202" s="223" t="s">
        <v>993</v>
      </c>
      <c r="B202" s="133" t="s">
        <v>131</v>
      </c>
      <c r="C202" s="133" t="s">
        <v>238</v>
      </c>
      <c r="D202" s="133" t="s">
        <v>230</v>
      </c>
      <c r="E202" s="133" t="s">
        <v>60</v>
      </c>
      <c r="F202" s="133" t="s">
        <v>69</v>
      </c>
      <c r="G202" s="133" t="s">
        <v>990</v>
      </c>
      <c r="H202" s="133" t="s">
        <v>109</v>
      </c>
      <c r="I202" s="164"/>
      <c r="J202" s="253"/>
      <c r="K202" s="253"/>
      <c r="L202" s="409"/>
      <c r="M202" s="409"/>
    </row>
    <row r="203" spans="1:13" ht="60.75" customHeight="1">
      <c r="A203" s="223" t="s">
        <v>1199</v>
      </c>
      <c r="B203" s="133" t="s">
        <v>131</v>
      </c>
      <c r="C203" s="133" t="s">
        <v>238</v>
      </c>
      <c r="D203" s="133" t="s">
        <v>527</v>
      </c>
      <c r="E203" s="133" t="s">
        <v>118</v>
      </c>
      <c r="F203" s="133" t="s">
        <v>1233</v>
      </c>
      <c r="G203" s="133" t="s">
        <v>1234</v>
      </c>
      <c r="H203" s="133" t="s">
        <v>164</v>
      </c>
      <c r="I203" s="164"/>
      <c r="J203" s="253"/>
      <c r="K203" s="253"/>
      <c r="L203" s="409"/>
      <c r="M203" s="409"/>
    </row>
    <row r="204" spans="1:13" ht="78.75">
      <c r="A204" s="221" t="s">
        <v>1211</v>
      </c>
      <c r="B204" s="133" t="s">
        <v>131</v>
      </c>
      <c r="C204" s="133" t="s">
        <v>238</v>
      </c>
      <c r="D204" s="133" t="s">
        <v>527</v>
      </c>
      <c r="E204" s="133" t="s">
        <v>118</v>
      </c>
      <c r="F204" s="133" t="s">
        <v>498</v>
      </c>
      <c r="G204" s="133" t="s">
        <v>1210</v>
      </c>
      <c r="H204" s="133" t="s">
        <v>164</v>
      </c>
      <c r="I204" s="276"/>
      <c r="J204" s="253"/>
      <c r="K204" s="253"/>
      <c r="L204" s="409"/>
      <c r="M204" s="409"/>
    </row>
    <row r="205" spans="1:13" ht="179.25" customHeight="1">
      <c r="A205" s="223" t="s">
        <v>478</v>
      </c>
      <c r="B205" s="133" t="s">
        <v>131</v>
      </c>
      <c r="C205" s="133" t="s">
        <v>238</v>
      </c>
      <c r="D205" s="133" t="s">
        <v>162</v>
      </c>
      <c r="E205" s="133" t="s">
        <v>118</v>
      </c>
      <c r="F205" s="133" t="s">
        <v>498</v>
      </c>
      <c r="G205" s="133" t="s">
        <v>534</v>
      </c>
      <c r="H205" s="133" t="s">
        <v>109</v>
      </c>
      <c r="I205" s="276"/>
      <c r="J205" s="253">
        <v>6733037</v>
      </c>
      <c r="K205" s="253">
        <v>6733037</v>
      </c>
      <c r="L205" s="409">
        <v>6733037</v>
      </c>
      <c r="M205" s="409">
        <v>6733037</v>
      </c>
    </row>
    <row r="206" spans="1:13" ht="21" customHeight="1">
      <c r="A206" s="152" t="s">
        <v>724</v>
      </c>
      <c r="B206" s="23" t="s">
        <v>131</v>
      </c>
      <c r="C206" s="23" t="s">
        <v>723</v>
      </c>
      <c r="D206" s="23"/>
      <c r="E206" s="23"/>
      <c r="F206" s="23"/>
      <c r="G206" s="23"/>
      <c r="H206" s="23"/>
      <c r="I206" s="85"/>
      <c r="J206" s="241">
        <f>SUM(J207:J214)</f>
        <v>5043260.25</v>
      </c>
      <c r="K206" s="241">
        <f>SUM(K207:K214)</f>
        <v>5043260.25</v>
      </c>
      <c r="L206" s="410">
        <f>SUM(L207:L214)</f>
        <v>5043260.25</v>
      </c>
      <c r="M206" s="410">
        <f>SUM(M207:M214)</f>
        <v>5043260.25</v>
      </c>
    </row>
    <row r="207" spans="1:13" ht="95.25" customHeight="1">
      <c r="A207" s="223" t="s">
        <v>535</v>
      </c>
      <c r="B207" s="133" t="s">
        <v>131</v>
      </c>
      <c r="C207" s="133" t="s">
        <v>723</v>
      </c>
      <c r="D207" s="133" t="s">
        <v>230</v>
      </c>
      <c r="E207" s="133" t="s">
        <v>232</v>
      </c>
      <c r="F207" s="133" t="s">
        <v>69</v>
      </c>
      <c r="G207" s="133" t="s">
        <v>536</v>
      </c>
      <c r="H207" s="133" t="s">
        <v>109</v>
      </c>
      <c r="I207" s="255">
        <f>I209</f>
        <v>1400</v>
      </c>
      <c r="J207" s="236">
        <v>4905060.25</v>
      </c>
      <c r="K207" s="236">
        <v>4905060.25</v>
      </c>
      <c r="L207" s="397">
        <v>4905060.25</v>
      </c>
      <c r="M207" s="397">
        <v>4905060.25</v>
      </c>
    </row>
    <row r="208" spans="1:13" ht="102" customHeight="1">
      <c r="A208" s="223" t="s">
        <v>864</v>
      </c>
      <c r="B208" s="133" t="s">
        <v>131</v>
      </c>
      <c r="C208" s="133" t="s">
        <v>723</v>
      </c>
      <c r="D208" s="133" t="s">
        <v>230</v>
      </c>
      <c r="E208" s="133" t="s">
        <v>232</v>
      </c>
      <c r="F208" s="133" t="s">
        <v>69</v>
      </c>
      <c r="G208" s="133" t="s">
        <v>866</v>
      </c>
      <c r="H208" s="133" t="s">
        <v>109</v>
      </c>
      <c r="I208" s="255"/>
      <c r="J208" s="138"/>
      <c r="K208" s="138"/>
      <c r="L208" s="411"/>
      <c r="M208" s="411"/>
    </row>
    <row r="209" spans="1:13" ht="110.25">
      <c r="A209" s="223" t="s">
        <v>722</v>
      </c>
      <c r="B209" s="133" t="s">
        <v>131</v>
      </c>
      <c r="C209" s="133" t="s">
        <v>723</v>
      </c>
      <c r="D209" s="133" t="s">
        <v>230</v>
      </c>
      <c r="E209" s="133" t="s">
        <v>232</v>
      </c>
      <c r="F209" s="133" t="s">
        <v>69</v>
      </c>
      <c r="G209" s="133" t="s">
        <v>537</v>
      </c>
      <c r="H209" s="133" t="s">
        <v>109</v>
      </c>
      <c r="I209" s="255">
        <f>SUM(I210:I211)</f>
        <v>1400</v>
      </c>
      <c r="J209" s="138">
        <v>0</v>
      </c>
      <c r="K209" s="138">
        <v>0</v>
      </c>
      <c r="L209" s="411">
        <v>0</v>
      </c>
      <c r="M209" s="411">
        <v>0</v>
      </c>
    </row>
    <row r="210" spans="1:13" ht="78.75">
      <c r="A210" s="223" t="s">
        <v>1168</v>
      </c>
      <c r="B210" s="133" t="s">
        <v>131</v>
      </c>
      <c r="C210" s="133" t="s">
        <v>723</v>
      </c>
      <c r="D210" s="133" t="s">
        <v>230</v>
      </c>
      <c r="E210" s="133" t="s">
        <v>232</v>
      </c>
      <c r="F210" s="133" t="s">
        <v>69</v>
      </c>
      <c r="G210" s="133" t="s">
        <v>1169</v>
      </c>
      <c r="H210" s="133" t="s">
        <v>109</v>
      </c>
      <c r="I210" s="164"/>
      <c r="J210" s="138"/>
      <c r="K210" s="138"/>
      <c r="L210" s="411"/>
      <c r="M210" s="411"/>
    </row>
    <row r="211" spans="1:13" ht="48" customHeight="1">
      <c r="A211" s="261" t="s">
        <v>1194</v>
      </c>
      <c r="B211" s="133" t="s">
        <v>131</v>
      </c>
      <c r="C211" s="133" t="s">
        <v>723</v>
      </c>
      <c r="D211" s="133" t="s">
        <v>230</v>
      </c>
      <c r="E211" s="133" t="s">
        <v>232</v>
      </c>
      <c r="F211" s="133" t="s">
        <v>69</v>
      </c>
      <c r="G211" s="133" t="s">
        <v>1179</v>
      </c>
      <c r="H211" s="133" t="s">
        <v>109</v>
      </c>
      <c r="I211" s="164">
        <v>1400</v>
      </c>
      <c r="J211" s="236"/>
      <c r="K211" s="236"/>
      <c r="L211" s="397"/>
      <c r="M211" s="397"/>
    </row>
    <row r="212" spans="1:13" ht="94.5">
      <c r="A212" s="261" t="s">
        <v>1195</v>
      </c>
      <c r="B212" s="133" t="s">
        <v>131</v>
      </c>
      <c r="C212" s="133" t="s">
        <v>723</v>
      </c>
      <c r="D212" s="133" t="s">
        <v>230</v>
      </c>
      <c r="E212" s="133" t="s">
        <v>232</v>
      </c>
      <c r="F212" s="133" t="s">
        <v>69</v>
      </c>
      <c r="G212" s="133" t="s">
        <v>1180</v>
      </c>
      <c r="H212" s="133" t="s">
        <v>109</v>
      </c>
      <c r="I212" s="164"/>
      <c r="J212" s="138"/>
      <c r="K212" s="138"/>
      <c r="L212" s="411"/>
      <c r="M212" s="411"/>
    </row>
    <row r="213" spans="1:13" ht="47.25">
      <c r="A213" s="161" t="s">
        <v>1437</v>
      </c>
      <c r="B213" s="247">
        <v>909</v>
      </c>
      <c r="C213" s="248" t="s">
        <v>723</v>
      </c>
      <c r="D213" s="248" t="s">
        <v>230</v>
      </c>
      <c r="E213" s="248" t="s">
        <v>232</v>
      </c>
      <c r="F213" s="248" t="s">
        <v>69</v>
      </c>
      <c r="G213" s="248" t="s">
        <v>1324</v>
      </c>
      <c r="H213" s="248" t="s">
        <v>109</v>
      </c>
      <c r="I213" s="255" t="e">
        <f>I7+#REF!+I117+I131+I188+I203</f>
        <v>#REF!</v>
      </c>
      <c r="J213" s="251">
        <v>138200</v>
      </c>
      <c r="K213" s="251">
        <v>138200</v>
      </c>
      <c r="L213" s="415">
        <v>138200</v>
      </c>
      <c r="M213" s="415">
        <v>138200</v>
      </c>
    </row>
    <row r="214" spans="1:13" ht="63">
      <c r="A214" s="261" t="s">
        <v>1196</v>
      </c>
      <c r="B214" s="133" t="s">
        <v>131</v>
      </c>
      <c r="C214" s="133" t="s">
        <v>723</v>
      </c>
      <c r="D214" s="133" t="s">
        <v>230</v>
      </c>
      <c r="E214" s="133" t="s">
        <v>232</v>
      </c>
      <c r="F214" s="133" t="s">
        <v>69</v>
      </c>
      <c r="G214" s="133" t="s">
        <v>1181</v>
      </c>
      <c r="H214" s="133" t="s">
        <v>109</v>
      </c>
      <c r="I214" s="255">
        <f>I215</f>
        <v>0</v>
      </c>
      <c r="J214" s="138"/>
      <c r="K214" s="138"/>
      <c r="L214" s="411"/>
      <c r="M214" s="411"/>
    </row>
    <row r="215" spans="1:13" ht="20.25" customHeight="1">
      <c r="A215" s="244" t="s">
        <v>139</v>
      </c>
      <c r="B215" s="23" t="s">
        <v>131</v>
      </c>
      <c r="C215" s="23" t="s">
        <v>140</v>
      </c>
      <c r="D215" s="23"/>
      <c r="E215" s="23"/>
      <c r="F215" s="23"/>
      <c r="G215" s="23"/>
      <c r="H215" s="23"/>
      <c r="I215" s="85"/>
      <c r="J215" s="157">
        <f>SUM(J216:J223)</f>
        <v>579348</v>
      </c>
      <c r="K215" s="157">
        <f>SUM(K216:K223)</f>
        <v>579348</v>
      </c>
      <c r="L215" s="391">
        <f>SUM(L216:L219)</f>
        <v>527500</v>
      </c>
      <c r="M215" s="391">
        <f>SUM(M216:M219)</f>
        <v>527500</v>
      </c>
    </row>
    <row r="216" spans="1:13" ht="64.5" customHeight="1" hidden="1">
      <c r="A216" s="223" t="s">
        <v>607</v>
      </c>
      <c r="B216" s="247">
        <v>909</v>
      </c>
      <c r="C216" s="248" t="s">
        <v>140</v>
      </c>
      <c r="D216" s="248">
        <v>11</v>
      </c>
      <c r="E216" s="248" t="s">
        <v>68</v>
      </c>
      <c r="F216" s="248" t="s">
        <v>69</v>
      </c>
      <c r="G216" s="248" t="s">
        <v>744</v>
      </c>
      <c r="H216" s="248" t="s">
        <v>164</v>
      </c>
      <c r="I216" s="164"/>
      <c r="J216" s="251">
        <v>0</v>
      </c>
      <c r="K216" s="251">
        <v>0</v>
      </c>
      <c r="L216" s="415">
        <v>65500</v>
      </c>
      <c r="M216" s="415">
        <v>65500</v>
      </c>
    </row>
    <row r="217" spans="1:13" ht="63" hidden="1">
      <c r="A217" s="69" t="s">
        <v>607</v>
      </c>
      <c r="B217" s="247">
        <v>909</v>
      </c>
      <c r="C217" s="248" t="s">
        <v>140</v>
      </c>
      <c r="D217" s="248">
        <v>11</v>
      </c>
      <c r="E217" s="248" t="s">
        <v>68</v>
      </c>
      <c r="F217" s="248" t="s">
        <v>69</v>
      </c>
      <c r="G217" s="248" t="s">
        <v>744</v>
      </c>
      <c r="H217" s="248" t="s">
        <v>164</v>
      </c>
      <c r="I217" s="270"/>
      <c r="J217" s="135">
        <v>0</v>
      </c>
      <c r="K217" s="135">
        <v>0</v>
      </c>
      <c r="L217" s="393">
        <v>23100</v>
      </c>
      <c r="M217" s="393">
        <v>23100</v>
      </c>
    </row>
    <row r="218" spans="1:13" ht="78.75" hidden="1">
      <c r="A218" s="223" t="s">
        <v>1486</v>
      </c>
      <c r="B218" s="247">
        <v>909</v>
      </c>
      <c r="C218" s="248" t="s">
        <v>140</v>
      </c>
      <c r="D218" s="248">
        <v>11</v>
      </c>
      <c r="E218" s="248" t="s">
        <v>68</v>
      </c>
      <c r="F218" s="248" t="s">
        <v>69</v>
      </c>
      <c r="G218" s="248" t="s">
        <v>744</v>
      </c>
      <c r="H218" s="248" t="s">
        <v>109</v>
      </c>
      <c r="I218" s="270"/>
      <c r="J218" s="135">
        <v>0</v>
      </c>
      <c r="K218" s="135">
        <v>0</v>
      </c>
      <c r="L218" s="393">
        <v>392700</v>
      </c>
      <c r="M218" s="393">
        <v>392700</v>
      </c>
    </row>
    <row r="219" spans="1:13" ht="94.5" hidden="1">
      <c r="A219" s="221" t="s">
        <v>695</v>
      </c>
      <c r="B219" s="133" t="s">
        <v>131</v>
      </c>
      <c r="C219" s="133" t="s">
        <v>140</v>
      </c>
      <c r="D219" s="133">
        <v>11</v>
      </c>
      <c r="E219" s="133" t="s">
        <v>68</v>
      </c>
      <c r="F219" s="133" t="s">
        <v>69</v>
      </c>
      <c r="G219" s="133" t="s">
        <v>539</v>
      </c>
      <c r="H219" s="133" t="s">
        <v>109</v>
      </c>
      <c r="I219" s="270"/>
      <c r="J219" s="236">
        <v>0</v>
      </c>
      <c r="K219" s="236">
        <v>0</v>
      </c>
      <c r="L219" s="397">
        <v>46200</v>
      </c>
      <c r="M219" s="397">
        <v>46200</v>
      </c>
    </row>
    <row r="220" spans="1:13" ht="63">
      <c r="A220" s="223" t="s">
        <v>607</v>
      </c>
      <c r="B220" s="247">
        <v>909</v>
      </c>
      <c r="C220" s="248" t="s">
        <v>140</v>
      </c>
      <c r="D220" s="248" t="s">
        <v>230</v>
      </c>
      <c r="E220" s="248" t="s">
        <v>60</v>
      </c>
      <c r="F220" s="248" t="s">
        <v>69</v>
      </c>
      <c r="G220" s="248" t="s">
        <v>744</v>
      </c>
      <c r="H220" s="248" t="s">
        <v>164</v>
      </c>
      <c r="I220" s="164"/>
      <c r="J220" s="251">
        <v>71148</v>
      </c>
      <c r="K220" s="251">
        <v>71148</v>
      </c>
      <c r="L220" s="397"/>
      <c r="M220" s="397"/>
    </row>
    <row r="221" spans="1:13" ht="63">
      <c r="A221" s="69" t="s">
        <v>607</v>
      </c>
      <c r="B221" s="247">
        <v>909</v>
      </c>
      <c r="C221" s="248" t="s">
        <v>140</v>
      </c>
      <c r="D221" s="248" t="s">
        <v>230</v>
      </c>
      <c r="E221" s="248" t="s">
        <v>60</v>
      </c>
      <c r="F221" s="248" t="s">
        <v>69</v>
      </c>
      <c r="G221" s="248" t="s">
        <v>744</v>
      </c>
      <c r="H221" s="248" t="s">
        <v>164</v>
      </c>
      <c r="I221" s="270"/>
      <c r="J221" s="135">
        <v>28875</v>
      </c>
      <c r="K221" s="135">
        <v>28875</v>
      </c>
      <c r="L221" s="397"/>
      <c r="M221" s="397"/>
    </row>
    <row r="222" spans="1:13" ht="78.75">
      <c r="A222" s="223" t="s">
        <v>1486</v>
      </c>
      <c r="B222" s="247">
        <v>909</v>
      </c>
      <c r="C222" s="248" t="s">
        <v>140</v>
      </c>
      <c r="D222" s="248" t="s">
        <v>230</v>
      </c>
      <c r="E222" s="248" t="s">
        <v>60</v>
      </c>
      <c r="F222" s="248" t="s">
        <v>69</v>
      </c>
      <c r="G222" s="248" t="s">
        <v>744</v>
      </c>
      <c r="H222" s="248" t="s">
        <v>109</v>
      </c>
      <c r="I222" s="270"/>
      <c r="J222" s="135">
        <v>428505</v>
      </c>
      <c r="K222" s="135">
        <v>428505</v>
      </c>
      <c r="L222" s="397"/>
      <c r="M222" s="397"/>
    </row>
    <row r="223" spans="1:13" ht="94.5">
      <c r="A223" s="221" t="s">
        <v>695</v>
      </c>
      <c r="B223" s="133" t="s">
        <v>131</v>
      </c>
      <c r="C223" s="133" t="s">
        <v>140</v>
      </c>
      <c r="D223" s="248" t="s">
        <v>230</v>
      </c>
      <c r="E223" s="248" t="s">
        <v>60</v>
      </c>
      <c r="F223" s="133" t="s">
        <v>69</v>
      </c>
      <c r="G223" s="133" t="s">
        <v>539</v>
      </c>
      <c r="H223" s="133" t="s">
        <v>109</v>
      </c>
      <c r="I223" s="270"/>
      <c r="J223" s="236">
        <v>50820</v>
      </c>
      <c r="K223" s="236">
        <v>50820</v>
      </c>
      <c r="L223" s="397"/>
      <c r="M223" s="397"/>
    </row>
    <row r="224" spans="1:13" ht="15.75">
      <c r="A224" s="235" t="s">
        <v>239</v>
      </c>
      <c r="B224" s="23" t="s">
        <v>131</v>
      </c>
      <c r="C224" s="23" t="s">
        <v>240</v>
      </c>
      <c r="D224" s="23"/>
      <c r="E224" s="23"/>
      <c r="F224" s="23"/>
      <c r="G224" s="23"/>
      <c r="H224" s="23"/>
      <c r="I224" s="269"/>
      <c r="J224" s="24">
        <f>SUM(J225:J232)</f>
        <v>11979721.440000001</v>
      </c>
      <c r="K224" s="24">
        <f>SUM(K225:K232)</f>
        <v>5202896.260000001</v>
      </c>
      <c r="L224" s="408">
        <f>SUM(L225:L232)</f>
        <v>5215396.260000001</v>
      </c>
      <c r="M224" s="408">
        <f>SUM(M225:M232)</f>
        <v>5202896.260000001</v>
      </c>
    </row>
    <row r="225" spans="1:13" ht="94.5" customHeight="1">
      <c r="A225" s="221" t="s">
        <v>546</v>
      </c>
      <c r="B225" s="133" t="s">
        <v>131</v>
      </c>
      <c r="C225" s="133" t="s">
        <v>240</v>
      </c>
      <c r="D225" s="133" t="s">
        <v>119</v>
      </c>
      <c r="E225" s="133" t="s">
        <v>60</v>
      </c>
      <c r="F225" s="133" t="s">
        <v>119</v>
      </c>
      <c r="G225" s="133" t="s">
        <v>541</v>
      </c>
      <c r="H225" s="133" t="s">
        <v>163</v>
      </c>
      <c r="I225" s="270"/>
      <c r="J225" s="236">
        <v>4278731.61</v>
      </c>
      <c r="K225" s="236">
        <v>4278731.61</v>
      </c>
      <c r="L225" s="397">
        <v>4278731.61</v>
      </c>
      <c r="M225" s="397">
        <v>4278731.61</v>
      </c>
    </row>
    <row r="226" spans="1:13" ht="63">
      <c r="A226" s="221" t="s">
        <v>592</v>
      </c>
      <c r="B226" s="133" t="s">
        <v>131</v>
      </c>
      <c r="C226" s="133" t="s">
        <v>240</v>
      </c>
      <c r="D226" s="133" t="s">
        <v>119</v>
      </c>
      <c r="E226" s="133" t="s">
        <v>60</v>
      </c>
      <c r="F226" s="133" t="s">
        <v>119</v>
      </c>
      <c r="G226" s="133" t="s">
        <v>541</v>
      </c>
      <c r="H226" s="133" t="s">
        <v>164</v>
      </c>
      <c r="I226" s="270"/>
      <c r="J226" s="135">
        <v>784950.65</v>
      </c>
      <c r="K226" s="135">
        <f>784950.65-12500</f>
        <v>772450.65</v>
      </c>
      <c r="L226" s="393">
        <v>784950.65</v>
      </c>
      <c r="M226" s="393">
        <f>784950.65-12500</f>
        <v>772450.65</v>
      </c>
    </row>
    <row r="227" spans="1:13" ht="47.25">
      <c r="A227" s="221" t="s">
        <v>540</v>
      </c>
      <c r="B227" s="133" t="s">
        <v>131</v>
      </c>
      <c r="C227" s="133" t="s">
        <v>240</v>
      </c>
      <c r="D227" s="133" t="s">
        <v>119</v>
      </c>
      <c r="E227" s="133" t="s">
        <v>60</v>
      </c>
      <c r="F227" s="133" t="s">
        <v>119</v>
      </c>
      <c r="G227" s="133" t="s">
        <v>541</v>
      </c>
      <c r="H227" s="133" t="s">
        <v>165</v>
      </c>
      <c r="I227" s="270"/>
      <c r="J227" s="135"/>
      <c r="K227" s="135"/>
      <c r="L227" s="393"/>
      <c r="M227" s="393"/>
    </row>
    <row r="228" spans="1:13" ht="65.25" customHeight="1">
      <c r="A228" s="221" t="s">
        <v>1478</v>
      </c>
      <c r="B228" s="21" t="s">
        <v>131</v>
      </c>
      <c r="C228" s="21" t="s">
        <v>240</v>
      </c>
      <c r="D228" s="21" t="s">
        <v>230</v>
      </c>
      <c r="E228" s="21" t="s">
        <v>60</v>
      </c>
      <c r="F228" s="21" t="s">
        <v>69</v>
      </c>
      <c r="G228" s="133" t="s">
        <v>1477</v>
      </c>
      <c r="H228" s="21" t="s">
        <v>164</v>
      </c>
      <c r="I228" s="270"/>
      <c r="J228" s="135">
        <v>0</v>
      </c>
      <c r="K228" s="135">
        <v>0</v>
      </c>
      <c r="L228" s="393"/>
      <c r="M228" s="393"/>
    </row>
    <row r="229" spans="1:13" ht="79.5" customHeight="1">
      <c r="A229" s="221" t="s">
        <v>1481</v>
      </c>
      <c r="B229" s="21" t="s">
        <v>131</v>
      </c>
      <c r="C229" s="21" t="s">
        <v>240</v>
      </c>
      <c r="D229" s="21" t="s">
        <v>230</v>
      </c>
      <c r="E229" s="21" t="s">
        <v>60</v>
      </c>
      <c r="F229" s="21" t="s">
        <v>69</v>
      </c>
      <c r="G229" s="133" t="s">
        <v>1476</v>
      </c>
      <c r="H229" s="21" t="s">
        <v>109</v>
      </c>
      <c r="I229" s="270"/>
      <c r="J229" s="135">
        <v>0</v>
      </c>
      <c r="K229" s="135">
        <v>0</v>
      </c>
      <c r="L229" s="393"/>
      <c r="M229" s="393"/>
    </row>
    <row r="230" spans="1:13" ht="64.5" customHeight="1">
      <c r="A230" s="221" t="s">
        <v>1491</v>
      </c>
      <c r="B230" s="21" t="s">
        <v>131</v>
      </c>
      <c r="C230" s="21" t="s">
        <v>240</v>
      </c>
      <c r="D230" s="21" t="s">
        <v>230</v>
      </c>
      <c r="E230" s="21" t="s">
        <v>60</v>
      </c>
      <c r="F230" s="21" t="s">
        <v>1489</v>
      </c>
      <c r="G230" s="133" t="s">
        <v>1490</v>
      </c>
      <c r="H230" s="21" t="s">
        <v>164</v>
      </c>
      <c r="I230" s="270"/>
      <c r="J230" s="135">
        <f>4509094.66+455.46</f>
        <v>4509550.12</v>
      </c>
      <c r="K230" s="135">
        <v>0</v>
      </c>
      <c r="L230" s="393"/>
      <c r="M230" s="393"/>
    </row>
    <row r="231" spans="1:13" ht="65.25" customHeight="1">
      <c r="A231" s="221" t="s">
        <v>1492</v>
      </c>
      <c r="B231" s="21" t="s">
        <v>131</v>
      </c>
      <c r="C231" s="21" t="s">
        <v>240</v>
      </c>
      <c r="D231" s="21" t="s">
        <v>230</v>
      </c>
      <c r="E231" s="21" t="s">
        <v>60</v>
      </c>
      <c r="F231" s="21" t="s">
        <v>1489</v>
      </c>
      <c r="G231" s="133" t="s">
        <v>1490</v>
      </c>
      <c r="H231" s="21" t="s">
        <v>109</v>
      </c>
      <c r="I231" s="270"/>
      <c r="J231" s="135">
        <f>2254547.32+227.74</f>
        <v>2254775.06</v>
      </c>
      <c r="K231" s="135">
        <v>0</v>
      </c>
      <c r="L231" s="393"/>
      <c r="M231" s="393"/>
    </row>
    <row r="232" spans="1:13" ht="78.75">
      <c r="A232" s="69" t="s">
        <v>997</v>
      </c>
      <c r="B232" s="133" t="s">
        <v>131</v>
      </c>
      <c r="C232" s="133" t="s">
        <v>240</v>
      </c>
      <c r="D232" s="133" t="s">
        <v>230</v>
      </c>
      <c r="E232" s="133" t="s">
        <v>60</v>
      </c>
      <c r="F232" s="133" t="s">
        <v>119</v>
      </c>
      <c r="G232" s="133" t="s">
        <v>1009</v>
      </c>
      <c r="H232" s="133" t="s">
        <v>109</v>
      </c>
      <c r="I232" s="270"/>
      <c r="J232" s="135">
        <v>151714</v>
      </c>
      <c r="K232" s="135">
        <v>151714</v>
      </c>
      <c r="L232" s="393">
        <v>151714</v>
      </c>
      <c r="M232" s="393">
        <v>151714</v>
      </c>
    </row>
    <row r="233" spans="1:13" ht="15.75">
      <c r="A233" s="245" t="s">
        <v>253</v>
      </c>
      <c r="B233" s="23" t="s">
        <v>131</v>
      </c>
      <c r="C233" s="23" t="s">
        <v>254</v>
      </c>
      <c r="D233" s="23"/>
      <c r="E233" s="23"/>
      <c r="F233" s="23"/>
      <c r="G233" s="23"/>
      <c r="H233" s="23"/>
      <c r="I233" s="269"/>
      <c r="J233" s="24">
        <f>J234+J237</f>
        <v>2252512.8</v>
      </c>
      <c r="K233" s="24">
        <f>K234+K237</f>
        <v>2265012.8</v>
      </c>
      <c r="L233" s="408">
        <f>L234+L237</f>
        <v>2252512.8</v>
      </c>
      <c r="M233" s="408">
        <f>M234+M237</f>
        <v>2265012.8</v>
      </c>
    </row>
    <row r="234" spans="1:13" ht="15.75">
      <c r="A234" s="235" t="s">
        <v>202</v>
      </c>
      <c r="B234" s="23" t="s">
        <v>131</v>
      </c>
      <c r="C234" s="23" t="s">
        <v>203</v>
      </c>
      <c r="D234" s="23"/>
      <c r="E234" s="23"/>
      <c r="F234" s="23"/>
      <c r="G234" s="23"/>
      <c r="H234" s="23"/>
      <c r="I234" s="269"/>
      <c r="J234" s="24">
        <f>J235+J236</f>
        <v>1217512.8</v>
      </c>
      <c r="K234" s="24">
        <f>K235+K236</f>
        <v>1217512.8</v>
      </c>
      <c r="L234" s="408">
        <f>L235+L236</f>
        <v>1217512.8</v>
      </c>
      <c r="M234" s="408">
        <f>M235+M236</f>
        <v>1217512.8</v>
      </c>
    </row>
    <row r="235" spans="1:13" ht="110.25">
      <c r="A235" s="221" t="s">
        <v>544</v>
      </c>
      <c r="B235" s="133" t="s">
        <v>131</v>
      </c>
      <c r="C235" s="133" t="s">
        <v>203</v>
      </c>
      <c r="D235" s="133" t="s">
        <v>230</v>
      </c>
      <c r="E235" s="133" t="s">
        <v>68</v>
      </c>
      <c r="F235" s="133" t="s">
        <v>69</v>
      </c>
      <c r="G235" s="133" t="s">
        <v>543</v>
      </c>
      <c r="H235" s="133" t="s">
        <v>110</v>
      </c>
      <c r="I235" s="270"/>
      <c r="J235" s="236">
        <v>1130892.7</v>
      </c>
      <c r="K235" s="236">
        <v>1130892.7</v>
      </c>
      <c r="L235" s="397">
        <v>1130892.7</v>
      </c>
      <c r="M235" s="397">
        <v>1130892.7</v>
      </c>
    </row>
    <row r="236" spans="1:13" ht="110.25">
      <c r="A236" s="221" t="s">
        <v>544</v>
      </c>
      <c r="B236" s="133" t="s">
        <v>131</v>
      </c>
      <c r="C236" s="133" t="s">
        <v>203</v>
      </c>
      <c r="D236" s="133" t="s">
        <v>230</v>
      </c>
      <c r="E236" s="133" t="s">
        <v>60</v>
      </c>
      <c r="F236" s="133" t="s">
        <v>69</v>
      </c>
      <c r="G236" s="133" t="s">
        <v>543</v>
      </c>
      <c r="H236" s="133" t="s">
        <v>110</v>
      </c>
      <c r="I236" s="270"/>
      <c r="J236" s="135">
        <v>86620.1</v>
      </c>
      <c r="K236" s="135">
        <v>86620.1</v>
      </c>
      <c r="L236" s="393">
        <v>86620.1</v>
      </c>
      <c r="M236" s="393">
        <v>86620.1</v>
      </c>
    </row>
    <row r="237" spans="1:13" ht="15.75">
      <c r="A237" s="235" t="s">
        <v>328</v>
      </c>
      <c r="B237" s="23" t="s">
        <v>131</v>
      </c>
      <c r="C237" s="23" t="s">
        <v>327</v>
      </c>
      <c r="D237" s="23"/>
      <c r="E237" s="23"/>
      <c r="F237" s="23"/>
      <c r="G237" s="23"/>
      <c r="H237" s="23"/>
      <c r="I237" s="269"/>
      <c r="J237" s="24">
        <f>J238+J239+J241</f>
        <v>1035000</v>
      </c>
      <c r="K237" s="24">
        <f>K238+K239+K241+K240</f>
        <v>1047500</v>
      </c>
      <c r="L237" s="408">
        <f>L238+L239+L241</f>
        <v>1035000</v>
      </c>
      <c r="M237" s="408">
        <f>M238+M239+M241+M240</f>
        <v>1047500</v>
      </c>
    </row>
    <row r="238" spans="1:13" ht="110.25">
      <c r="A238" s="221" t="s">
        <v>542</v>
      </c>
      <c r="B238" s="133" t="s">
        <v>131</v>
      </c>
      <c r="C238" s="133" t="s">
        <v>327</v>
      </c>
      <c r="D238" s="133" t="s">
        <v>162</v>
      </c>
      <c r="E238" s="133" t="s">
        <v>118</v>
      </c>
      <c r="F238" s="133" t="s">
        <v>498</v>
      </c>
      <c r="G238" s="133" t="s">
        <v>545</v>
      </c>
      <c r="H238" s="133" t="s">
        <v>110</v>
      </c>
      <c r="I238" s="270"/>
      <c r="J238" s="236">
        <v>1035000</v>
      </c>
      <c r="K238" s="236">
        <v>1035000</v>
      </c>
      <c r="L238" s="397">
        <v>1035000</v>
      </c>
      <c r="M238" s="397">
        <v>1035000</v>
      </c>
    </row>
    <row r="239" spans="1:13" ht="60.75" customHeight="1">
      <c r="A239" s="223" t="s">
        <v>938</v>
      </c>
      <c r="B239" s="133" t="s">
        <v>131</v>
      </c>
      <c r="C239" s="133" t="s">
        <v>327</v>
      </c>
      <c r="D239" s="133" t="s">
        <v>1366</v>
      </c>
      <c r="E239" s="133" t="s">
        <v>68</v>
      </c>
      <c r="F239" s="133" t="s">
        <v>119</v>
      </c>
      <c r="G239" s="133" t="s">
        <v>960</v>
      </c>
      <c r="H239" s="133" t="s">
        <v>164</v>
      </c>
      <c r="I239" s="270"/>
      <c r="J239" s="138">
        <v>0</v>
      </c>
      <c r="K239" s="138">
        <v>8500</v>
      </c>
      <c r="L239" s="411">
        <v>0</v>
      </c>
      <c r="M239" s="411">
        <v>8500</v>
      </c>
    </row>
    <row r="240" spans="1:13" ht="60.75" customHeight="1">
      <c r="A240" s="223" t="s">
        <v>1371</v>
      </c>
      <c r="B240" s="133" t="s">
        <v>131</v>
      </c>
      <c r="C240" s="133" t="s">
        <v>327</v>
      </c>
      <c r="D240" s="133" t="s">
        <v>1366</v>
      </c>
      <c r="E240" s="133" t="s">
        <v>68</v>
      </c>
      <c r="F240" s="133" t="s">
        <v>69</v>
      </c>
      <c r="G240" s="133" t="s">
        <v>1373</v>
      </c>
      <c r="H240" s="133" t="s">
        <v>164</v>
      </c>
      <c r="I240" s="270"/>
      <c r="J240" s="138">
        <v>0</v>
      </c>
      <c r="K240" s="138">
        <v>4000</v>
      </c>
      <c r="L240" s="411">
        <v>0</v>
      </c>
      <c r="M240" s="411">
        <v>4000</v>
      </c>
    </row>
    <row r="241" spans="1:13" ht="81.75" customHeight="1">
      <c r="A241" s="154" t="s">
        <v>894</v>
      </c>
      <c r="B241" s="22" t="s">
        <v>131</v>
      </c>
      <c r="C241" s="22" t="s">
        <v>327</v>
      </c>
      <c r="D241" s="22" t="s">
        <v>1366</v>
      </c>
      <c r="E241" s="22" t="s">
        <v>68</v>
      </c>
      <c r="F241" s="22" t="s">
        <v>241</v>
      </c>
      <c r="G241" s="22" t="s">
        <v>961</v>
      </c>
      <c r="H241" s="22" t="s">
        <v>164</v>
      </c>
      <c r="I241" s="269"/>
      <c r="J241" s="93"/>
      <c r="K241" s="93"/>
      <c r="L241" s="422"/>
      <c r="M241" s="422"/>
    </row>
    <row r="242" spans="1:13" ht="31.5">
      <c r="A242" s="233" t="s">
        <v>114</v>
      </c>
      <c r="B242" s="234" t="s">
        <v>113</v>
      </c>
      <c r="C242" s="234"/>
      <c r="D242" s="234"/>
      <c r="E242" s="234"/>
      <c r="F242" s="234"/>
      <c r="G242" s="234"/>
      <c r="H242" s="234"/>
      <c r="I242" s="269"/>
      <c r="J242" s="205">
        <f>J243+J254</f>
        <v>4546739</v>
      </c>
      <c r="K242" s="205">
        <f>K243+K254</f>
        <v>4338414</v>
      </c>
      <c r="L242" s="407">
        <f>L243+L254</f>
        <v>4542490</v>
      </c>
      <c r="M242" s="407">
        <f>M243+M254</f>
        <v>4296000</v>
      </c>
    </row>
    <row r="243" spans="1:13" ht="15.75">
      <c r="A243" s="235" t="s">
        <v>283</v>
      </c>
      <c r="B243" s="23" t="s">
        <v>113</v>
      </c>
      <c r="C243" s="23" t="s">
        <v>284</v>
      </c>
      <c r="D243" s="23"/>
      <c r="E243" s="23"/>
      <c r="F243" s="23"/>
      <c r="G243" s="23"/>
      <c r="H243" s="23"/>
      <c r="I243" s="269"/>
      <c r="J243" s="24">
        <f>J244+J248+J250+J252</f>
        <v>4546739</v>
      </c>
      <c r="K243" s="24">
        <f>K244+K248+K250+K252</f>
        <v>4329414</v>
      </c>
      <c r="L243" s="408">
        <f>L244+L248+L250+L252</f>
        <v>4542490</v>
      </c>
      <c r="M243" s="408">
        <f>M244+M248+M250+M252</f>
        <v>4287000</v>
      </c>
    </row>
    <row r="244" spans="1:13" ht="47.25">
      <c r="A244" s="235" t="s">
        <v>613</v>
      </c>
      <c r="B244" s="23" t="s">
        <v>113</v>
      </c>
      <c r="C244" s="23" t="s">
        <v>130</v>
      </c>
      <c r="D244" s="23"/>
      <c r="E244" s="23"/>
      <c r="F244" s="23"/>
      <c r="G244" s="23"/>
      <c r="H244" s="23"/>
      <c r="I244" s="269"/>
      <c r="J244" s="24">
        <f>SUM(J245:J247)</f>
        <v>4237000</v>
      </c>
      <c r="K244" s="24">
        <f>SUM(K245:K247)</f>
        <v>4237000</v>
      </c>
      <c r="L244" s="408">
        <f>SUM(L245:L247)</f>
        <v>4237000</v>
      </c>
      <c r="M244" s="408">
        <f>SUM(M245:M247)</f>
        <v>4237000</v>
      </c>
    </row>
    <row r="245" spans="1:13" ht="98.25" customHeight="1">
      <c r="A245" s="154" t="s">
        <v>547</v>
      </c>
      <c r="B245" s="22" t="s">
        <v>113</v>
      </c>
      <c r="C245" s="22" t="s">
        <v>130</v>
      </c>
      <c r="D245" s="22" t="s">
        <v>295</v>
      </c>
      <c r="E245" s="22" t="s">
        <v>68</v>
      </c>
      <c r="F245" s="22" t="s">
        <v>69</v>
      </c>
      <c r="G245" s="22" t="s">
        <v>548</v>
      </c>
      <c r="H245" s="22" t="s">
        <v>163</v>
      </c>
      <c r="I245" s="269"/>
      <c r="J245" s="212">
        <v>3850265.8</v>
      </c>
      <c r="K245" s="212">
        <v>3850265.8</v>
      </c>
      <c r="L245" s="412">
        <v>3850265.8</v>
      </c>
      <c r="M245" s="412">
        <v>3850265.8</v>
      </c>
    </row>
    <row r="246" spans="1:13" ht="63">
      <c r="A246" s="154" t="s">
        <v>606</v>
      </c>
      <c r="B246" s="22" t="s">
        <v>113</v>
      </c>
      <c r="C246" s="22" t="s">
        <v>130</v>
      </c>
      <c r="D246" s="22" t="s">
        <v>295</v>
      </c>
      <c r="E246" s="22" t="s">
        <v>68</v>
      </c>
      <c r="F246" s="22" t="s">
        <v>69</v>
      </c>
      <c r="G246" s="22" t="s">
        <v>548</v>
      </c>
      <c r="H246" s="22" t="s">
        <v>164</v>
      </c>
      <c r="I246" s="269"/>
      <c r="J246" s="212">
        <v>386734.2</v>
      </c>
      <c r="K246" s="212">
        <v>386734.2</v>
      </c>
      <c r="L246" s="412">
        <v>386734.2</v>
      </c>
      <c r="M246" s="412">
        <v>386734.2</v>
      </c>
    </row>
    <row r="247" spans="1:13" ht="47.25">
      <c r="A247" s="154" t="s">
        <v>461</v>
      </c>
      <c r="B247" s="22" t="s">
        <v>113</v>
      </c>
      <c r="C247" s="22" t="s">
        <v>130</v>
      </c>
      <c r="D247" s="22" t="s">
        <v>295</v>
      </c>
      <c r="E247" s="22" t="s">
        <v>68</v>
      </c>
      <c r="F247" s="22" t="s">
        <v>69</v>
      </c>
      <c r="G247" s="22" t="s">
        <v>548</v>
      </c>
      <c r="H247" s="22" t="s">
        <v>165</v>
      </c>
      <c r="I247" s="269"/>
      <c r="J247" s="32"/>
      <c r="K247" s="32"/>
      <c r="L247" s="420"/>
      <c r="M247" s="420"/>
    </row>
    <row r="248" spans="1:13" ht="15.75">
      <c r="A248" s="227" t="s">
        <v>614</v>
      </c>
      <c r="B248" s="145" t="s">
        <v>113</v>
      </c>
      <c r="C248" s="145" t="s">
        <v>266</v>
      </c>
      <c r="D248" s="145"/>
      <c r="E248" s="145"/>
      <c r="F248" s="145"/>
      <c r="G248" s="145"/>
      <c r="H248" s="145"/>
      <c r="I248" s="269"/>
      <c r="J248" s="157">
        <f>J249</f>
        <v>9739</v>
      </c>
      <c r="K248" s="157">
        <f>K249</f>
        <v>42414</v>
      </c>
      <c r="L248" s="391">
        <f>L249</f>
        <v>5490</v>
      </c>
      <c r="M248" s="391">
        <f>M249</f>
        <v>0</v>
      </c>
    </row>
    <row r="249" spans="1:13" ht="69" customHeight="1">
      <c r="A249" s="63" t="s">
        <v>1485</v>
      </c>
      <c r="B249" s="133" t="s">
        <v>113</v>
      </c>
      <c r="C249" s="133" t="s">
        <v>266</v>
      </c>
      <c r="D249" s="133" t="s">
        <v>549</v>
      </c>
      <c r="E249" s="133" t="s">
        <v>118</v>
      </c>
      <c r="F249" s="133" t="s">
        <v>498</v>
      </c>
      <c r="G249" s="133" t="s">
        <v>550</v>
      </c>
      <c r="H249" s="133" t="s">
        <v>53</v>
      </c>
      <c r="I249" s="270"/>
      <c r="J249" s="135">
        <v>9739</v>
      </c>
      <c r="K249" s="135">
        <v>42414</v>
      </c>
      <c r="L249" s="393">
        <v>5490</v>
      </c>
      <c r="M249" s="393">
        <v>0</v>
      </c>
    </row>
    <row r="250" spans="1:13" ht="15.75">
      <c r="A250" s="227" t="s">
        <v>1335</v>
      </c>
      <c r="B250" s="145" t="s">
        <v>113</v>
      </c>
      <c r="C250" s="145" t="s">
        <v>1336</v>
      </c>
      <c r="D250" s="120"/>
      <c r="E250" s="120"/>
      <c r="F250" s="120"/>
      <c r="G250" s="120"/>
      <c r="H250" s="120"/>
      <c r="I250" s="146"/>
      <c r="J250" s="277">
        <f>J251</f>
        <v>300000</v>
      </c>
      <c r="K250" s="157">
        <f>K251</f>
        <v>50000</v>
      </c>
      <c r="L250" s="424">
        <f>L251</f>
        <v>300000</v>
      </c>
      <c r="M250" s="391">
        <f>M251</f>
        <v>50000</v>
      </c>
    </row>
    <row r="251" spans="1:13" ht="36" customHeight="1">
      <c r="A251" s="221" t="s">
        <v>1337</v>
      </c>
      <c r="B251" s="21" t="s">
        <v>113</v>
      </c>
      <c r="C251" s="21" t="s">
        <v>1336</v>
      </c>
      <c r="D251" s="21" t="s">
        <v>162</v>
      </c>
      <c r="E251" s="21" t="s">
        <v>118</v>
      </c>
      <c r="F251" s="21" t="s">
        <v>498</v>
      </c>
      <c r="G251" s="21" t="s">
        <v>1380</v>
      </c>
      <c r="H251" s="21" t="s">
        <v>165</v>
      </c>
      <c r="I251" s="85"/>
      <c r="J251" s="165">
        <v>300000</v>
      </c>
      <c r="K251" s="236">
        <v>50000</v>
      </c>
      <c r="L251" s="425">
        <v>300000</v>
      </c>
      <c r="M251" s="397">
        <v>50000</v>
      </c>
    </row>
    <row r="252" spans="1:13" ht="15.75">
      <c r="A252" s="227" t="s">
        <v>314</v>
      </c>
      <c r="B252" s="145" t="s">
        <v>113</v>
      </c>
      <c r="C252" s="145" t="s">
        <v>315</v>
      </c>
      <c r="D252" s="120"/>
      <c r="E252" s="120"/>
      <c r="F252" s="120"/>
      <c r="G252" s="120"/>
      <c r="H252" s="120"/>
      <c r="I252" s="269"/>
      <c r="J252" s="157">
        <f>J253</f>
        <v>0</v>
      </c>
      <c r="K252" s="157">
        <f>K253</f>
        <v>0</v>
      </c>
      <c r="L252" s="391">
        <f>L253</f>
        <v>0</v>
      </c>
      <c r="M252" s="391">
        <f>M253</f>
        <v>0</v>
      </c>
    </row>
    <row r="253" spans="1:13" ht="181.5" customHeight="1">
      <c r="A253" s="64" t="s">
        <v>1035</v>
      </c>
      <c r="B253" s="22" t="s">
        <v>113</v>
      </c>
      <c r="C253" s="22" t="s">
        <v>315</v>
      </c>
      <c r="D253" s="22" t="s">
        <v>162</v>
      </c>
      <c r="E253" s="22" t="s">
        <v>118</v>
      </c>
      <c r="F253" s="22" t="s">
        <v>498</v>
      </c>
      <c r="G253" s="22" t="s">
        <v>620</v>
      </c>
      <c r="H253" s="22" t="s">
        <v>165</v>
      </c>
      <c r="I253" s="269"/>
      <c r="J253" s="32"/>
      <c r="K253" s="32"/>
      <c r="L253" s="420"/>
      <c r="M253" s="420"/>
    </row>
    <row r="254" spans="1:13" ht="15.75">
      <c r="A254" s="152" t="s">
        <v>253</v>
      </c>
      <c r="B254" s="145" t="s">
        <v>113</v>
      </c>
      <c r="C254" s="145" t="s">
        <v>254</v>
      </c>
      <c r="D254" s="145"/>
      <c r="E254" s="145"/>
      <c r="F254" s="145"/>
      <c r="G254" s="145"/>
      <c r="H254" s="145"/>
      <c r="I254" s="269"/>
      <c r="J254" s="157">
        <f>J255</f>
        <v>0</v>
      </c>
      <c r="K254" s="157">
        <f>K255</f>
        <v>9000</v>
      </c>
      <c r="L254" s="391">
        <f>L255</f>
        <v>0</v>
      </c>
      <c r="M254" s="391">
        <f>M255</f>
        <v>9000</v>
      </c>
    </row>
    <row r="255" spans="1:13" ht="15.75">
      <c r="A255" s="152" t="s">
        <v>314</v>
      </c>
      <c r="B255" s="145" t="s">
        <v>113</v>
      </c>
      <c r="C255" s="145" t="s">
        <v>327</v>
      </c>
      <c r="D255" s="145"/>
      <c r="E255" s="145"/>
      <c r="F255" s="145"/>
      <c r="G255" s="145"/>
      <c r="H255" s="145"/>
      <c r="I255" s="269"/>
      <c r="J255" s="157">
        <f>J256+J257</f>
        <v>0</v>
      </c>
      <c r="K255" s="157">
        <f>K256+K257</f>
        <v>9000</v>
      </c>
      <c r="L255" s="391">
        <f>L256+L257</f>
        <v>0</v>
      </c>
      <c r="M255" s="391">
        <f>M256+M257</f>
        <v>9000</v>
      </c>
    </row>
    <row r="256" spans="1:13" ht="63" customHeight="1">
      <c r="A256" s="154" t="s">
        <v>1060</v>
      </c>
      <c r="B256" s="22" t="s">
        <v>113</v>
      </c>
      <c r="C256" s="22" t="s">
        <v>327</v>
      </c>
      <c r="D256" s="22" t="s">
        <v>1366</v>
      </c>
      <c r="E256" s="22" t="s">
        <v>68</v>
      </c>
      <c r="F256" s="22" t="s">
        <v>119</v>
      </c>
      <c r="G256" s="22" t="s">
        <v>1055</v>
      </c>
      <c r="H256" s="22" t="s">
        <v>164</v>
      </c>
      <c r="I256" s="269"/>
      <c r="J256" s="240"/>
      <c r="K256" s="240">
        <v>9000</v>
      </c>
      <c r="L256" s="426"/>
      <c r="M256" s="426">
        <v>9000</v>
      </c>
    </row>
    <row r="257" spans="1:13" ht="79.5" customHeight="1">
      <c r="A257" s="223" t="s">
        <v>1344</v>
      </c>
      <c r="B257" s="133" t="s">
        <v>113</v>
      </c>
      <c r="C257" s="133" t="s">
        <v>327</v>
      </c>
      <c r="D257" s="133" t="s">
        <v>1366</v>
      </c>
      <c r="E257" s="133" t="s">
        <v>68</v>
      </c>
      <c r="F257" s="133" t="s">
        <v>241</v>
      </c>
      <c r="G257" s="133" t="s">
        <v>1322</v>
      </c>
      <c r="H257" s="133" t="s">
        <v>164</v>
      </c>
      <c r="I257" s="269"/>
      <c r="J257" s="240"/>
      <c r="K257" s="240"/>
      <c r="L257" s="426"/>
      <c r="M257" s="426"/>
    </row>
    <row r="258" spans="1:13" ht="31.5">
      <c r="A258" s="233" t="s">
        <v>248</v>
      </c>
      <c r="B258" s="234" t="s">
        <v>293</v>
      </c>
      <c r="C258" s="234"/>
      <c r="D258" s="234"/>
      <c r="E258" s="234"/>
      <c r="F258" s="234"/>
      <c r="G258" s="234"/>
      <c r="H258" s="234"/>
      <c r="I258" s="269"/>
      <c r="J258" s="205">
        <f>J259+J263</f>
        <v>1377873.6099999999</v>
      </c>
      <c r="K258" s="205">
        <f>K259+K263</f>
        <v>1377873.6099999999</v>
      </c>
      <c r="L258" s="407">
        <f>L259+L263</f>
        <v>1377873.6099999999</v>
      </c>
      <c r="M258" s="407">
        <f>M259+M263</f>
        <v>1377873.6099999999</v>
      </c>
    </row>
    <row r="259" spans="1:13" ht="15.75">
      <c r="A259" s="235" t="s">
        <v>283</v>
      </c>
      <c r="B259" s="145" t="s">
        <v>293</v>
      </c>
      <c r="C259" s="145" t="s">
        <v>284</v>
      </c>
      <c r="D259" s="145"/>
      <c r="E259" s="145"/>
      <c r="F259" s="145"/>
      <c r="G259" s="145"/>
      <c r="H259" s="145"/>
      <c r="I259" s="269"/>
      <c r="J259" s="155">
        <f>J260</f>
        <v>1377873.6099999999</v>
      </c>
      <c r="K259" s="155">
        <f>K260</f>
        <v>1377873.6099999999</v>
      </c>
      <c r="L259" s="421">
        <f>L260</f>
        <v>1377873.6099999999</v>
      </c>
      <c r="M259" s="421">
        <f>M260</f>
        <v>1377873.6099999999</v>
      </c>
    </row>
    <row r="260" spans="1:13" ht="47.25">
      <c r="A260" s="235" t="s">
        <v>613</v>
      </c>
      <c r="B260" s="23" t="s">
        <v>293</v>
      </c>
      <c r="C260" s="23" t="s">
        <v>130</v>
      </c>
      <c r="D260" s="23"/>
      <c r="E260" s="23"/>
      <c r="F260" s="23"/>
      <c r="G260" s="23"/>
      <c r="H260" s="23"/>
      <c r="I260" s="269"/>
      <c r="J260" s="24">
        <f>J261+J262</f>
        <v>1377873.6099999999</v>
      </c>
      <c r="K260" s="24">
        <f>K261+K262</f>
        <v>1377873.6099999999</v>
      </c>
      <c r="L260" s="408">
        <f>L261+L262</f>
        <v>1377873.6099999999</v>
      </c>
      <c r="M260" s="408">
        <f>M261+M262</f>
        <v>1377873.6099999999</v>
      </c>
    </row>
    <row r="261" spans="1:13" ht="99.75" customHeight="1">
      <c r="A261" s="64" t="s">
        <v>362</v>
      </c>
      <c r="B261" s="22" t="s">
        <v>293</v>
      </c>
      <c r="C261" s="22" t="s">
        <v>130</v>
      </c>
      <c r="D261" s="22" t="s">
        <v>119</v>
      </c>
      <c r="E261" s="22" t="s">
        <v>60</v>
      </c>
      <c r="F261" s="22" t="s">
        <v>119</v>
      </c>
      <c r="G261" s="22" t="s">
        <v>551</v>
      </c>
      <c r="H261" s="22" t="s">
        <v>163</v>
      </c>
      <c r="I261" s="269"/>
      <c r="J261" s="212">
        <v>1150297.21</v>
      </c>
      <c r="K261" s="212">
        <v>1150297.21</v>
      </c>
      <c r="L261" s="412">
        <v>1150297.21</v>
      </c>
      <c r="M261" s="412">
        <v>1150297.21</v>
      </c>
    </row>
    <row r="262" spans="1:13" ht="68.25" customHeight="1">
      <c r="A262" s="64" t="s">
        <v>593</v>
      </c>
      <c r="B262" s="22" t="s">
        <v>293</v>
      </c>
      <c r="C262" s="22" t="s">
        <v>130</v>
      </c>
      <c r="D262" s="22" t="s">
        <v>119</v>
      </c>
      <c r="E262" s="22" t="s">
        <v>60</v>
      </c>
      <c r="F262" s="22" t="s">
        <v>119</v>
      </c>
      <c r="G262" s="22" t="s">
        <v>551</v>
      </c>
      <c r="H262" s="22" t="s">
        <v>164</v>
      </c>
      <c r="I262" s="269"/>
      <c r="J262" s="265">
        <v>227576.4</v>
      </c>
      <c r="K262" s="265">
        <v>227576.4</v>
      </c>
      <c r="L262" s="427">
        <v>227576.4</v>
      </c>
      <c r="M262" s="427">
        <v>227576.4</v>
      </c>
    </row>
    <row r="263" spans="1:13" ht="15.75">
      <c r="A263" s="235" t="s">
        <v>253</v>
      </c>
      <c r="B263" s="23" t="s">
        <v>293</v>
      </c>
      <c r="C263" s="23" t="s">
        <v>254</v>
      </c>
      <c r="D263" s="120"/>
      <c r="E263" s="120"/>
      <c r="F263" s="120"/>
      <c r="G263" s="120"/>
      <c r="H263" s="120"/>
      <c r="I263" s="269"/>
      <c r="J263" s="122">
        <f>J264</f>
        <v>0</v>
      </c>
      <c r="K263" s="122">
        <f>K264</f>
        <v>0</v>
      </c>
      <c r="L263" s="394">
        <f>L264</f>
        <v>0</v>
      </c>
      <c r="M263" s="394">
        <f>M264</f>
        <v>0</v>
      </c>
    </row>
    <row r="264" spans="1:13" ht="15.75">
      <c r="A264" s="235" t="s">
        <v>314</v>
      </c>
      <c r="B264" s="23" t="s">
        <v>293</v>
      </c>
      <c r="C264" s="23" t="s">
        <v>327</v>
      </c>
      <c r="D264" s="23"/>
      <c r="E264" s="23"/>
      <c r="F264" s="23"/>
      <c r="G264" s="23"/>
      <c r="H264" s="23"/>
      <c r="I264" s="269"/>
      <c r="J264" s="157">
        <f>J265+J266</f>
        <v>0</v>
      </c>
      <c r="K264" s="157">
        <f>K265+K266</f>
        <v>0</v>
      </c>
      <c r="L264" s="391">
        <f>L265+L266</f>
        <v>0</v>
      </c>
      <c r="M264" s="391">
        <f>M265+M266</f>
        <v>0</v>
      </c>
    </row>
    <row r="265" spans="1:13" ht="66.75" customHeight="1">
      <c r="A265" s="154" t="s">
        <v>890</v>
      </c>
      <c r="B265" s="22" t="s">
        <v>293</v>
      </c>
      <c r="C265" s="22" t="s">
        <v>327</v>
      </c>
      <c r="D265" s="22" t="s">
        <v>1366</v>
      </c>
      <c r="E265" s="22" t="s">
        <v>68</v>
      </c>
      <c r="F265" s="22" t="s">
        <v>69</v>
      </c>
      <c r="G265" s="22" t="s">
        <v>863</v>
      </c>
      <c r="H265" s="22" t="s">
        <v>164</v>
      </c>
      <c r="I265" s="269"/>
      <c r="J265" s="240">
        <v>0</v>
      </c>
      <c r="K265" s="240">
        <v>0</v>
      </c>
      <c r="L265" s="426">
        <v>0</v>
      </c>
      <c r="M265" s="426">
        <v>0</v>
      </c>
    </row>
    <row r="266" spans="1:13" ht="63">
      <c r="A266" s="154" t="s">
        <v>936</v>
      </c>
      <c r="B266" s="22" t="s">
        <v>293</v>
      </c>
      <c r="C266" s="22" t="s">
        <v>327</v>
      </c>
      <c r="D266" s="22" t="s">
        <v>1366</v>
      </c>
      <c r="E266" s="22" t="s">
        <v>68</v>
      </c>
      <c r="F266" s="22" t="s">
        <v>119</v>
      </c>
      <c r="G266" s="22" t="s">
        <v>962</v>
      </c>
      <c r="H266" s="22" t="s">
        <v>164</v>
      </c>
      <c r="I266" s="269"/>
      <c r="J266" s="240">
        <v>0</v>
      </c>
      <c r="K266" s="240">
        <v>0</v>
      </c>
      <c r="L266" s="426">
        <v>0</v>
      </c>
      <c r="M266" s="426">
        <v>0</v>
      </c>
    </row>
    <row r="267" spans="1:13" ht="15.75">
      <c r="A267" s="233" t="s">
        <v>1345</v>
      </c>
      <c r="B267" s="234"/>
      <c r="C267" s="234"/>
      <c r="D267" s="234"/>
      <c r="E267" s="234"/>
      <c r="F267" s="234"/>
      <c r="G267" s="234"/>
      <c r="H267" s="234"/>
      <c r="I267" s="269"/>
      <c r="J267" s="205">
        <f>J11+J147+J158+J242+J258</f>
        <v>321938600.51000005</v>
      </c>
      <c r="K267" s="205">
        <f>K11+K147+K158+K242+K258</f>
        <v>309466795.86</v>
      </c>
      <c r="L267" s="407">
        <f>L11+L147+L158+L242+L258</f>
        <v>302320309.33000004</v>
      </c>
      <c r="M267" s="407">
        <f>M11+M147+M158+M242+M258</f>
        <v>293598243.6</v>
      </c>
    </row>
    <row r="270" spans="10:11" ht="15">
      <c r="J270" s="185"/>
      <c r="K270" s="432"/>
    </row>
  </sheetData>
  <sheetProtection/>
  <mergeCells count="11">
    <mergeCell ref="L8:M8"/>
    <mergeCell ref="B1:K1"/>
    <mergeCell ref="B2:K2"/>
    <mergeCell ref="B3:K3"/>
    <mergeCell ref="A5:K6"/>
    <mergeCell ref="A8:A9"/>
    <mergeCell ref="B8:B9"/>
    <mergeCell ref="C8:C9"/>
    <mergeCell ref="D8:G8"/>
    <mergeCell ref="H8:H9"/>
    <mergeCell ref="I8:K8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8" r:id="rId1"/>
  <rowBreaks count="3" manualBreakCount="3">
    <brk id="109" max="10" man="1"/>
    <brk id="130" max="10" man="1"/>
    <brk id="2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2020-09-08T10:49:31Z</cp:lastPrinted>
  <dcterms:created xsi:type="dcterms:W3CDTF">2012-10-04T08:08:03Z</dcterms:created>
  <dcterms:modified xsi:type="dcterms:W3CDTF">2020-09-16T05:46:26Z</dcterms:modified>
  <cp:category/>
  <cp:version/>
  <cp:contentType/>
  <cp:contentStatus/>
</cp:coreProperties>
</file>